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000" windowHeight="11250" activeTab="0"/>
  </bookViews>
  <sheets>
    <sheet name="PROJECT INPUT" sheetId="1" r:id="rId1"/>
    <sheet name="Equipment Breakdown" sheetId="2" r:id="rId2"/>
  </sheets>
  <definedNames>
    <definedName name="_xlnm.Print_Titles" localSheetId="1">'Equipment Breakdown'!$2:$11</definedName>
    <definedName name="Z_16B21135_5985_4DB8_A12F_72161297E0D2_.wvu.Cols" localSheetId="1" hidden="1">'Equipment Breakdown'!$B:$B,'Equipment Breakdown'!#REF!,'Equipment Breakdown'!$D:$D,'Equipment Breakdown'!$F:$G,'Equipment Breakdown'!$H:$I</definedName>
    <definedName name="Z_16B21135_5985_4DB8_A12F_72161297E0D2_.wvu.Rows" localSheetId="1" hidden="1">'Equipment Breakdown'!$7:$8</definedName>
    <definedName name="Z_4739F89E_E7FC_4F97_AF54_DB1E82E74E7A_.wvu.Cols" localSheetId="1" hidden="1">'Equipment Breakdown'!#REF!,'Equipment Breakdown'!#REF!,'Equipment Breakdown'!#REF!,'Equipment Breakdown'!#REF!</definedName>
    <definedName name="Z_4739F89E_E7FC_4F97_AF54_DB1E82E74E7A_.wvu.Rows" localSheetId="1" hidden="1">'Equipment Breakdown'!$7:$8</definedName>
    <definedName name="Z_613AA235_C757_46E4_B827_29ABC6FC85A0_.wvu.Cols" localSheetId="1" hidden="1">'Equipment Breakdown'!$B:$B,'Equipment Breakdown'!#REF!,'Equipment Breakdown'!$D:$D,'Equipment Breakdown'!$F:$G,'Equipment Breakdown'!$H:$I</definedName>
    <definedName name="Z_613AA235_C757_46E4_B827_29ABC6FC85A0_.wvu.Rows" localSheetId="1" hidden="1">'Equipment Breakdown'!$7:$8</definedName>
    <definedName name="Z_725817E5_63CE_490D_B90E_6C09825B8635_.wvu.Cols" localSheetId="1" hidden="1">'Equipment Breakdown'!#REF!,'Equipment Breakdown'!#REF!</definedName>
    <definedName name="Z_725817E5_63CE_490D_B90E_6C09825B8635_.wvu.Rows" localSheetId="1" hidden="1">'Equipment Breakdown'!$7:$8</definedName>
    <definedName name="Z_9CB0CF07_D678_4371_9E33_D772B418D68C_.wvu.Cols" localSheetId="1" hidden="1">'Equipment Breakdown'!#REF!,'Equipment Breakdown'!#REF!,'Equipment Breakdown'!#REF!</definedName>
    <definedName name="Z_9CB0CF07_D678_4371_9E33_D772B418D68C_.wvu.Rows" localSheetId="1" hidden="1">'Equipment Breakdown'!$7:$8</definedName>
    <definedName name="Z_CDC6A690_20EE_4F5A_8B5C_D7C839AC0634_.wvu.Cols" localSheetId="1" hidden="1">'Equipment Breakdown'!$B:$B,'Equipment Breakdown'!#REF!,'Equipment Breakdown'!$F:$G,'Equipment Breakdown'!$H:$I</definedName>
    <definedName name="Z_CDC6A690_20EE_4F5A_8B5C_D7C839AC0634_.wvu.Rows" localSheetId="1" hidden="1">'Equipment Breakdown'!$7:$8</definedName>
    <definedName name="Z_F4B72E8E_4CC9_499B_8E41_F1AB8105136D_.wvu.Cols" localSheetId="1" hidden="1">'Equipment Breakdown'!#REF!,'Equipment Breakdown'!#REF!</definedName>
  </definedNames>
  <calcPr fullCalcOnLoad="1"/>
</workbook>
</file>

<file path=xl/comments1.xml><?xml version="1.0" encoding="utf-8"?>
<comments xmlns="http://schemas.openxmlformats.org/spreadsheetml/2006/main">
  <authors>
    <author>richard.cofer</author>
  </authors>
  <commentList>
    <comment ref="B8" authorId="0">
      <text>
        <r>
          <rPr>
            <b/>
            <sz val="8"/>
            <rFont val="Tahoma"/>
            <family val="0"/>
          </rPr>
          <t>Per UFC 3-701-XX
Shoud be consistant with DD 1391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Per UFC 3-701-XX
Shoud be consistant with DD 1391</t>
        </r>
      </text>
    </comment>
    <comment ref="B6" authorId="0">
      <text>
        <r>
          <rPr>
            <b/>
            <sz val="8"/>
            <rFont val="Tahoma"/>
            <family val="0"/>
          </rPr>
          <t>Project Program Year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sz val="8"/>
            <rFont val="Tahoma"/>
            <family val="0"/>
          </rPr>
          <t xml:space="preserve">Where vistor badges will be issued.  Should be one location per Installation.  Some locations may need more than one Badging Station.
</t>
        </r>
      </text>
    </comment>
    <comment ref="B17" authorId="0">
      <text>
        <r>
          <rPr>
            <sz val="8"/>
            <rFont val="Tahoma"/>
            <family val="0"/>
          </rPr>
          <t xml:space="preserve">Number of Vistor Badges.  Use 1000.  Number should only reflect number required for system startup.  </t>
        </r>
      </text>
    </comment>
  </commentList>
</comments>
</file>

<file path=xl/comments2.xml><?xml version="1.0" encoding="utf-8"?>
<comments xmlns="http://schemas.openxmlformats.org/spreadsheetml/2006/main">
  <authors>
    <author>richard.cofer</author>
  </authors>
  <commentList>
    <comment ref="E154" authorId="0">
      <text>
        <r>
          <rPr>
            <b/>
            <sz val="12"/>
            <rFont val="Tahoma"/>
            <family val="2"/>
          </rPr>
          <t>(Usually Four or More Req'd) Two for zone 2 [0-200') One for zone 1 [200-800') One for Wrong Way [Additional Req'd if vehicle rejection past ID check point]</t>
        </r>
        <r>
          <rPr>
            <sz val="8"/>
            <rFont val="Tahoma"/>
            <family val="0"/>
          </rPr>
          <t xml:space="preserve">
</t>
        </r>
      </text>
    </comment>
    <comment ref="E155" authorId="0">
      <text>
        <r>
          <rPr>
            <b/>
            <sz val="12"/>
            <rFont val="Tahoma"/>
            <family val="2"/>
          </rPr>
          <t>Landing Point for Sensors, Display Units, Relays, Port Server, and RJ45 to Computer</t>
        </r>
        <r>
          <rPr>
            <sz val="8"/>
            <rFont val="Tahoma"/>
            <family val="0"/>
          </rPr>
          <t xml:space="preserve">
</t>
        </r>
      </text>
    </comment>
    <comment ref="E157" authorId="0">
      <text>
        <r>
          <rPr>
            <b/>
            <sz val="12"/>
            <rFont val="Tahoma"/>
            <family val="2"/>
          </rPr>
          <t>Displays Over Speed or Wrong Way conditions to Guards in Booths/Under Canopy</t>
        </r>
        <r>
          <rPr>
            <sz val="8"/>
            <rFont val="Tahoma"/>
            <family val="0"/>
          </rPr>
          <t xml:space="preserve">
</t>
        </r>
      </text>
    </comment>
    <comment ref="E159" authorId="0">
      <text>
        <r>
          <rPr>
            <sz val="12"/>
            <rFont val="Tahoma"/>
            <family val="2"/>
          </rPr>
          <t>Usually mounted on ID Checkpoint Canopy or Gate House</t>
        </r>
      </text>
    </comment>
    <comment ref="E158" authorId="0">
      <text>
        <r>
          <rPr>
            <sz val="12"/>
            <rFont val="Tahoma"/>
            <family val="2"/>
          </rPr>
          <t xml:space="preserve">Sensor cable
</t>
        </r>
      </text>
    </comment>
  </commentList>
</comments>
</file>

<file path=xl/sharedStrings.xml><?xml version="1.0" encoding="utf-8"?>
<sst xmlns="http://schemas.openxmlformats.org/spreadsheetml/2006/main" count="886" uniqueCount="454">
  <si>
    <t>Qty</t>
  </si>
  <si>
    <t>Unit</t>
  </si>
  <si>
    <t>Description</t>
  </si>
  <si>
    <t>Manufacturer</t>
  </si>
  <si>
    <t>ALTRONIX [SDI]</t>
  </si>
  <si>
    <t>AL1012ULXPD16CB</t>
  </si>
  <si>
    <t>PROX-LINC WINDSHIELD TAG</t>
  </si>
  <si>
    <t>APL-1216</t>
  </si>
  <si>
    <t>PROX-LINC METAL TAG</t>
  </si>
  <si>
    <t>APT-1014</t>
  </si>
  <si>
    <t>RFID READER</t>
  </si>
  <si>
    <t>Sentinel PROX LR-911</t>
  </si>
  <si>
    <t xml:space="preserve">KIT, INSTALLATION </t>
  </si>
  <si>
    <t>LRIN</t>
  </si>
  <si>
    <t>BRACKET, READER MOUNTING</t>
  </si>
  <si>
    <t>LRMB</t>
  </si>
  <si>
    <t>CABLE, 20AWG, 12-CON, STRANDED, [PUT-UPS: 500']</t>
  </si>
  <si>
    <t>CABLE, 18AWG, 3-PR, STRANDED, [PUT-UPS: 500']</t>
  </si>
  <si>
    <t>9910-10</t>
  </si>
  <si>
    <t>9910-9</t>
  </si>
  <si>
    <t>PLUGSTRIP, 8-OUTLET</t>
  </si>
  <si>
    <t>BLACK BOX</t>
  </si>
  <si>
    <t>SP412A</t>
  </si>
  <si>
    <t>KVM, RACKMOUNT</t>
  </si>
  <si>
    <t>BLACKBOX</t>
  </si>
  <si>
    <t>KVT202A-R2</t>
  </si>
  <si>
    <t>BRACKET REAR, EXTENSION KIT (KVM)</t>
  </si>
  <si>
    <t>RMB4</t>
  </si>
  <si>
    <t>SWITCH, 8-PORT</t>
  </si>
  <si>
    <t>CISCO</t>
  </si>
  <si>
    <t>WS-CE500G-12TC</t>
  </si>
  <si>
    <t>SWITCH, 24-PORT, RACK MOUNT</t>
  </si>
  <si>
    <t>WS-2950-24</t>
  </si>
  <si>
    <t>FIBER, SM, JUMPER, ST-SC, 2M</t>
  </si>
  <si>
    <t>CORNING</t>
  </si>
  <si>
    <t>5861-01R2131-002-M</t>
  </si>
  <si>
    <t>FIBER HOUSING</t>
  </si>
  <si>
    <t>CCH-02U</t>
  </si>
  <si>
    <t>CAMERA SURGE PROTECTOR</t>
  </si>
  <si>
    <t>DITEK [DIRECT]</t>
  </si>
  <si>
    <t>DTK-PVP27B-TPV</t>
  </si>
  <si>
    <t>GATE, PARKING, 1/2HP 115V</t>
  </si>
  <si>
    <t>1601-080</t>
  </si>
  <si>
    <t>KIT, FAN - 1601 / 1602 / 1603</t>
  </si>
  <si>
    <t>ARM, ALUMINUM, ASSY</t>
  </si>
  <si>
    <t>1601-216</t>
  </si>
  <si>
    <t>KIT HARDWARE, ALUMINUM ARM</t>
  </si>
  <si>
    <t>1601-242</t>
  </si>
  <si>
    <t>SPIKES, TRAFFIC</t>
  </si>
  <si>
    <t>1610-082</t>
  </si>
  <si>
    <t>LOOP DETECTOR, B3-DP, 120V</t>
  </si>
  <si>
    <t>9402-047</t>
  </si>
  <si>
    <t>LOOP DETECTOR HARNESS</t>
  </si>
  <si>
    <t>9402-061</t>
  </si>
  <si>
    <t>SPEED BUMPS</t>
  </si>
  <si>
    <t>1610-150</t>
  </si>
  <si>
    <t>SENSOR, PHOTOEYE</t>
  </si>
  <si>
    <t>EMX</t>
  </si>
  <si>
    <t>P45</t>
  </si>
  <si>
    <t>DIRECT-TO-CARD PRINTER/ENCODER WITH DUPLEX INLINE LAMINATION MODULE</t>
  </si>
  <si>
    <t>FARGO</t>
  </si>
  <si>
    <t>DTC550-LC</t>
  </si>
  <si>
    <t>FRANKLIN PAINT COMPANY</t>
  </si>
  <si>
    <t>TRAFFIC LETTER - O, 36"</t>
  </si>
  <si>
    <t>TRAFFIC LETTER - P, 36"</t>
  </si>
  <si>
    <t>TRAFFIC LETTER - S, 36"</t>
  </si>
  <si>
    <t>TRAFFIC LETTER - T, 36"</t>
  </si>
  <si>
    <t>J-BOLTS, 3/8" x 3", SS</t>
  </si>
  <si>
    <t>GENERIC</t>
  </si>
  <si>
    <t>HOFFMAN</t>
  </si>
  <si>
    <t>LASERJET 5200 PRINTER</t>
  </si>
  <si>
    <t>Q7543A#ABA</t>
  </si>
  <si>
    <t>READER, BARCODE, SLOT</t>
  </si>
  <si>
    <t>ID TECH</t>
  </si>
  <si>
    <t>WCR3237-633U</t>
  </si>
  <si>
    <t>DV-CH-8UP</t>
  </si>
  <si>
    <t>PC-2950-GANI</t>
  </si>
  <si>
    <t>PCC-IDADV</t>
  </si>
  <si>
    <t>SW-1010</t>
  </si>
  <si>
    <t>SWC-DV</t>
  </si>
  <si>
    <t>SWG-1210</t>
  </si>
  <si>
    <t>SWG-AMADV-8</t>
  </si>
  <si>
    <t>SWS-ADV</t>
  </si>
  <si>
    <t>PCC-ADV</t>
  </si>
  <si>
    <t>SIGNATURE CAPTURE KIT</t>
  </si>
  <si>
    <t>941007</t>
  </si>
  <si>
    <t>ICLASS CARD 16L WITH MAGSTRIPE</t>
  </si>
  <si>
    <t>2001NG1NN</t>
  </si>
  <si>
    <t>CCD IMAGE CAPTURE KIT</t>
  </si>
  <si>
    <t>CAM-CCD-500K</t>
  </si>
  <si>
    <t>INTELLIGENT SYSTEM CONTROLLER</t>
  </si>
  <si>
    <t>LNL-2000</t>
  </si>
  <si>
    <t>INPUT CONTROL MODULE</t>
  </si>
  <si>
    <t>LNL-1100</t>
  </si>
  <si>
    <t>OUTPUT CONTROL MODULE</t>
  </si>
  <si>
    <t>LNL-1200</t>
  </si>
  <si>
    <t>DUAL READER INTERFACE MODULE</t>
  </si>
  <si>
    <t>LNL-1320</t>
  </si>
  <si>
    <t>MICRO SERIAL SERVER</t>
  </si>
  <si>
    <t>LNL-ETHLAN</t>
  </si>
  <si>
    <t>ON-BOARD MICRO SERIAL SERVER</t>
  </si>
  <si>
    <t>LNL-ETHLAN-MICRO</t>
  </si>
  <si>
    <t>MICROSOFT</t>
  </si>
  <si>
    <t>228-00684</t>
  </si>
  <si>
    <t>SHIPPING CRATE</t>
  </si>
  <si>
    <t>MIDDLE ATLANTIC PRODUCTS</t>
  </si>
  <si>
    <t>CRATE</t>
  </si>
  <si>
    <t>BLACK 10-32 PHILLIPS SCREWS WITH WASHERS (100 PIECES)</t>
  </si>
  <si>
    <t>HP-24</t>
  </si>
  <si>
    <t>FILTER KIT FOR 5.25 INCH KNOCKOUT</t>
  </si>
  <si>
    <t>KO-FILTER3</t>
  </si>
  <si>
    <t>TOP PANEL WITH 4 QUIET FANS</t>
  </si>
  <si>
    <t>MW-4QFT-FC</t>
  </si>
  <si>
    <t>20-OUTLET, SINGLE OR DUAL 20 AMP CIRCUIT, THIN POWER STRIP WITH J-BOX</t>
  </si>
  <si>
    <t>PDT-2X1020</t>
  </si>
  <si>
    <t>SHELF, ADJUSTABLE</t>
  </si>
  <si>
    <t>VDS</t>
  </si>
  <si>
    <t>44-SPACE (77 INCH), 32 INCH DEEP COMPLETE NETWORK ENCLOSURE KIT, BLACK FINISH</t>
  </si>
  <si>
    <t>WRK-44-32NK</t>
  </si>
  <si>
    <t>RACK MOUNT CHASSIS FOR FIBER OPTIC AND UTP MODULES</t>
  </si>
  <si>
    <t>PELCO</t>
  </si>
  <si>
    <t>RK5000PS-3U</t>
  </si>
  <si>
    <t>DIGITAL VIDEO RECORDER, 16 INPUT, 1 TB STORAGE, DVD-RW</t>
  </si>
  <si>
    <t>DX8016-1000DVD</t>
  </si>
  <si>
    <t>8-CHANNEL VIDEO RECEIVER, SINGLEMODE FIBER</t>
  </si>
  <si>
    <t>FR8308SSTR</t>
  </si>
  <si>
    <t>CAMCLOSURE CAMERA SYSTEM</t>
  </si>
  <si>
    <t>ICS310-CRV39A</t>
  </si>
  <si>
    <t>MX4009CD</t>
  </si>
  <si>
    <t>BATTERY 12V, 7AH</t>
  </si>
  <si>
    <t>POWER-SONIC [WIE]</t>
  </si>
  <si>
    <t>PS-1270F1</t>
  </si>
  <si>
    <t>EA</t>
  </si>
  <si>
    <t>UPS, 2000VA, RACKMOUNT</t>
  </si>
  <si>
    <t>05146001-6501</t>
  </si>
  <si>
    <t>UPS, 2000VA, TOWER</t>
  </si>
  <si>
    <t>05146074-6591</t>
  </si>
  <si>
    <t>MOUNTING RAIL KIT, 4 POST 2U</t>
  </si>
  <si>
    <t>RELAY, 4 POLE</t>
  </si>
  <si>
    <t>AR 402-0</t>
  </si>
  <si>
    <t>LOUDSPEAKER, DELUXE, 2-WIRE BUS SYSTEM</t>
  </si>
  <si>
    <t>BLTM 650-03</t>
  </si>
  <si>
    <t>BSM 650-0</t>
  </si>
  <si>
    <t>HANDSET,  STATION W/ VIDEO MONITOR</t>
  </si>
  <si>
    <t>BTCV 850-W</t>
  </si>
  <si>
    <t>BUTTON, CALL MODULE</t>
  </si>
  <si>
    <t>BTM 650-01</t>
  </si>
  <si>
    <t>CONTROLLER/POWER SUPPLY, A/V</t>
  </si>
  <si>
    <t>BVNG 650-01</t>
  </si>
  <si>
    <t>TRANSMITTER, VIDEO</t>
  </si>
  <si>
    <t>BVS 650-01</t>
  </si>
  <si>
    <t>DISTRIBUTOR, SYMMETRICAL</t>
  </si>
  <si>
    <t>BVVS 650-0</t>
  </si>
  <si>
    <t>CMC 612-1</t>
  </si>
  <si>
    <t>ACCESSORY, ANTI-THEFT</t>
  </si>
  <si>
    <t>DSC 602-0</t>
  </si>
  <si>
    <t>PANEL, PREFABRICATED</t>
  </si>
  <si>
    <t>FAB-AV-3327</t>
  </si>
  <si>
    <t>PEDESTAL, FREESTANDING, 4 MODULE</t>
  </si>
  <si>
    <t>KSF 613-4</t>
  </si>
  <si>
    <t>POWER SUPPLY FOR TLM</t>
  </si>
  <si>
    <t>NG 602-0</t>
  </si>
  <si>
    <t>INTERFACE, PROGRAMMING, USB</t>
  </si>
  <si>
    <t>PRI 602-0-USB</t>
  </si>
  <si>
    <t>SPEAKER, LINE LEVEL</t>
  </si>
  <si>
    <t>TLM/TK 611-0LL</t>
  </si>
  <si>
    <t>POWER SUPPLY</t>
  </si>
  <si>
    <t>TR 602-1</t>
  </si>
  <si>
    <t>AMPLIFIER, DISTRIBUTION</t>
  </si>
  <si>
    <t>VMO 511-2</t>
  </si>
  <si>
    <t>VNG 602-1</t>
  </si>
  <si>
    <t>PORT, PROGRAMMING</t>
  </si>
  <si>
    <t>ZBVG 650-1</t>
  </si>
  <si>
    <t>ACCESSORY, PILFER SAFEGUARD</t>
  </si>
  <si>
    <t>ZDS 601-0</t>
  </si>
  <si>
    <t>ACCESSORY, TABLE-TOP</t>
  </si>
  <si>
    <t>ZTCV 850-0</t>
  </si>
  <si>
    <t>BAA650-0</t>
  </si>
  <si>
    <t>POST, EXTRUSION, 2.25 INCH X 3 INCH X 60 INCH WITH 6 INCH BASE</t>
  </si>
  <si>
    <t>SIGNAL TECHNOLOGIES</t>
  </si>
  <si>
    <t xml:space="preserve">P60B </t>
  </si>
  <si>
    <t>POST, EXTRUSION, 2.25 INCH X 3 INCH X 90 INCH WITH 6 INCH BASE</t>
  </si>
  <si>
    <t xml:space="preserve">P90B </t>
  </si>
  <si>
    <t>LED DIRECT VIEW TRAFFIC CONTROLLER "OPEN CLOSED"</t>
  </si>
  <si>
    <t>TCL1418GR-100STK</t>
  </si>
  <si>
    <t>LED DIRECT VIEW RED GREEN DOUBLE LIGHT INDICATOR</t>
  </si>
  <si>
    <t>TCL147RG-225</t>
  </si>
  <si>
    <t>STAND-ALONE MEDIA CONVERTER, 100BASE-TX TO 100BASE-FX</t>
  </si>
  <si>
    <t>TRANSITION NETWORKS [ANIXTER]</t>
  </si>
  <si>
    <t>E-100BTX-FX-05(SM)</t>
  </si>
  <si>
    <t>CABLE, CAT5E (PUT-UPS: 1000FT)</t>
  </si>
  <si>
    <t>CONNECTOR, BNC, 75 OHM 4-PIECE, MINI-MAX</t>
  </si>
  <si>
    <t>CN-BM74-18</t>
  </si>
  <si>
    <t>CONNECTORS,  RJ45</t>
  </si>
  <si>
    <t>CONNECTORS, BNC, 75OHM, RG-59/U</t>
  </si>
  <si>
    <t>107O</t>
  </si>
  <si>
    <t>107P</t>
  </si>
  <si>
    <t>107S</t>
  </si>
  <si>
    <t>107T</t>
  </si>
  <si>
    <t>Line</t>
  </si>
  <si>
    <t>POWER SUPPLY, 12VDC @ 10A</t>
  </si>
  <si>
    <t>RECEIVER (WITH RELAYS), REMOTE CONTROL, 3 FUNCTION</t>
  </si>
  <si>
    <t>RCR303B-3R</t>
  </si>
  <si>
    <t>TRANSMITTER, KEYFOB, 3-BUTTON</t>
  </si>
  <si>
    <t>KTX303B3</t>
  </si>
  <si>
    <t>CABLE, 24AWG, 6-CON STRANDED, [PUTUPS: 250 FT]</t>
  </si>
  <si>
    <t>CABLE: 10AWG STRANDED, BLK [PUT-UP: 250 FEET]</t>
  </si>
  <si>
    <t>CABLE: 10AWG STRANDED, GRN SHIELDED [PUT-UP: 250 FEET]</t>
  </si>
  <si>
    <t>CABLE: 10AWG STRANDED, WHITE [PUT-UP: 250 FEET]</t>
  </si>
  <si>
    <t>CISCO SYSTEMS [USCOMPUTERS]</t>
  </si>
  <si>
    <t>TRAFFIC PAINT, WHITE</t>
  </si>
  <si>
    <t>HP [USCOMPUTERS]</t>
  </si>
  <si>
    <t>SWS-DV</t>
  </si>
  <si>
    <t>CLIENT BADGING WORKSTATION (IAW QUOTATION NO. 5804)</t>
  </si>
  <si>
    <t>ACCESS CLIENT WORKSTATION  (IAW QUOTATION NO. 5804)</t>
  </si>
  <si>
    <t>CCTV DIGITAL SWITCHER VIDEO PROCESSOR</t>
  </si>
  <si>
    <t>051415262-0021</t>
  </si>
  <si>
    <t>BATTERY, EBM, 48V, 5-15A</t>
  </si>
  <si>
    <t>AUDIO DECOUPLER, 2 WIRE BUS</t>
  </si>
  <si>
    <t>CABLE, COAXIAL, VIDEO, 75OHM, MINATURE, (PUT-UPS: 500FT)</t>
  </si>
  <si>
    <t>CABLE: RG-59 [500FT SPOOL]</t>
  </si>
  <si>
    <t>RJ45/8</t>
  </si>
  <si>
    <t>REV-CBNC-19/20</t>
  </si>
  <si>
    <t>DISTRIBUTION AMPLIFIER, 16CH, 1X4 OUTPUT</t>
  </si>
  <si>
    <t>GE SECURITY</t>
  </si>
  <si>
    <t>KTS-250-16</t>
  </si>
  <si>
    <t>1761-CBL-AP00</t>
  </si>
  <si>
    <t>1761-CBL-AS09</t>
  </si>
  <si>
    <t>1761-NET-AIC</t>
  </si>
  <si>
    <t>1764-MM1</t>
  </si>
  <si>
    <t>1764-24BWA</t>
  </si>
  <si>
    <t>1764-LRP</t>
  </si>
  <si>
    <t>1769-ECR</t>
  </si>
  <si>
    <t>1769-IQ16</t>
  </si>
  <si>
    <t>1769-OB16</t>
  </si>
  <si>
    <t>1489-A1C100</t>
  </si>
  <si>
    <t>SP196A</t>
  </si>
  <si>
    <t>R241660ULCB</t>
  </si>
  <si>
    <t>05141562-0091</t>
  </si>
  <si>
    <t>2938811</t>
  </si>
  <si>
    <t>2938604</t>
  </si>
  <si>
    <t>312010H</t>
  </si>
  <si>
    <t>313010H</t>
  </si>
  <si>
    <t>C1LG6</t>
  </si>
  <si>
    <t>G1X3LG6</t>
  </si>
  <si>
    <t>C2LG6</t>
  </si>
  <si>
    <t>G2X3LG6</t>
  </si>
  <si>
    <t>C3LG6</t>
  </si>
  <si>
    <t>G3X3LG6</t>
  </si>
  <si>
    <t>PPB186</t>
  </si>
  <si>
    <t>PGP86</t>
  </si>
  <si>
    <t>PT86SS</t>
  </si>
  <si>
    <t>PFHPBL</t>
  </si>
  <si>
    <t>AASHLF1218</t>
  </si>
  <si>
    <t>ALF25M18R</t>
  </si>
  <si>
    <t>PDLFBRKT</t>
  </si>
  <si>
    <t>DAH4001B</t>
  </si>
  <si>
    <t>CR29041G068</t>
  </si>
  <si>
    <t>ALLEN-BRADLEY</t>
  </si>
  <si>
    <t>ALTRONICS</t>
  </si>
  <si>
    <t>POWERWARE</t>
  </si>
  <si>
    <t>PHOENIX CONTACT</t>
  </si>
  <si>
    <t>LITTELFUSE</t>
  </si>
  <si>
    <t>PANDUIT</t>
  </si>
  <si>
    <t>WEIDMULLER</t>
  </si>
  <si>
    <t>CABLE, MICROLOGIX CH1 TO AIC, 2M</t>
  </si>
  <si>
    <t>CABLE, PANELVIEW TO NET-AIC, 9M</t>
  </si>
  <si>
    <t>ADVANCED INTERFACE CONVERTER, DH485</t>
  </si>
  <si>
    <t>MEMORY MODULE, 4K</t>
  </si>
  <si>
    <t>MICROLOGIX 1500 BASE UNIT, 12 DC IN, 12 RELAY OUT</t>
  </si>
  <si>
    <t>MICROLOGIX 1500 PROCESSOR, 2 RS-232 PORTS</t>
  </si>
  <si>
    <t>RIGHT END CAP</t>
  </si>
  <si>
    <t>DIGITAL INPUT, 16 POINT, 24VDC</t>
  </si>
  <si>
    <t>DIGITAL OUTPUT, 16 POINT, 24VDC</t>
  </si>
  <si>
    <t>CIRCUIT BREAKER 10-AMP 1 POLE</t>
  </si>
  <si>
    <t>RACKMOUNT POWER, 15A</t>
  </si>
  <si>
    <t>CAMERA POWER SUPPLY</t>
  </si>
  <si>
    <t>CHASSIS, 19" RACK, 12 SLOTS, INTERNAL POWER SUPPLY</t>
  </si>
  <si>
    <t>UPS, 1250VA</t>
  </si>
  <si>
    <t>MOUNTING HARDWARE 4-POST 2U</t>
  </si>
  <si>
    <t>POWER SUPPLY, 12VDC, 10A</t>
  </si>
  <si>
    <t>POWER SUPPLY, 24VDC, 10A</t>
  </si>
  <si>
    <t>FUSE, 1/4", 10A FAST ACTING (ALLIED#846-4013)</t>
  </si>
  <si>
    <t>FUSE, 1/4", 8A TIME DELAY (ALLIED#846-4065)</t>
  </si>
  <si>
    <t>WIREWAY COVER 1", LIGHT GRAY</t>
  </si>
  <si>
    <t>WIREWAY  1" X 3", LIGHT GRAY</t>
  </si>
  <si>
    <t>WIREWAY COVER 2", LIGHT GRAY</t>
  </si>
  <si>
    <t>WIREWAY  2" X 3", LIGHT GRAY</t>
  </si>
  <si>
    <t>WIREWAY COVER 3", LIGHT GRAY</t>
  </si>
  <si>
    <t>WIREWAY  3" X 3", LIGHT GRAY</t>
  </si>
  <si>
    <t>GROUND TERMINAL BLOCKS, WPE4</t>
  </si>
  <si>
    <t>FUSED TERMINAL BLOCKS, 24VDC INDICATOR</t>
  </si>
  <si>
    <t>FUSED TERMINAL BLOCKS, 115VAC INDICATOR</t>
  </si>
  <si>
    <t>TERMINAL BLOCKS, WDU2.5</t>
  </si>
  <si>
    <t>END PLATE</t>
  </si>
  <si>
    <t>TERMINAL LABELS, WS12/5</t>
  </si>
  <si>
    <t>JUMPERS, 50 POLE, RED, ZQV 2.5N/50</t>
  </si>
  <si>
    <t>JUMPERS, 50 POLE, BLUE, ZQV 2.5N/50</t>
  </si>
  <si>
    <t>DUPLEX  GFI RECEPT., DIN RAIL MOUNT</t>
  </si>
  <si>
    <t>SS DOORS</t>
  </si>
  <si>
    <t>RIGHT SIDE PANEL WITH AC CUTOUT</t>
  </si>
  <si>
    <t>PLINTH BASE</t>
  </si>
  <si>
    <t>GLAND PLATE</t>
  </si>
  <si>
    <t>TOP</t>
  </si>
  <si>
    <t>LOCKING HANDLE</t>
  </si>
  <si>
    <t>SUB-PANEL</t>
  </si>
  <si>
    <t>RACK ANGLES</t>
  </si>
  <si>
    <t>GRID STRAPS</t>
  </si>
  <si>
    <t>FOLDING SHELF</t>
  </si>
  <si>
    <t>LIGHTING PACKAGE</t>
  </si>
  <si>
    <t>HEATER</t>
  </si>
  <si>
    <t>AIR CONDITIONING UNIT / THERMOSTAT</t>
  </si>
  <si>
    <t>05146008-6501</t>
  </si>
  <si>
    <t>FT8308SSTR</t>
  </si>
  <si>
    <t>Number of Security Dispatch Stations</t>
  </si>
  <si>
    <t>Number of Badging Stations</t>
  </si>
  <si>
    <t>PANELVIEW PLUS 1000, DH-485, AC</t>
  </si>
  <si>
    <t>2711-T10C3</t>
  </si>
  <si>
    <t>1601-092</t>
  </si>
  <si>
    <t>WARNING SIGNS</t>
  </si>
  <si>
    <t>1615-080</t>
  </si>
  <si>
    <t>TIMER, PCB PROGRAMMABLE</t>
  </si>
  <si>
    <t>S-0100</t>
  </si>
  <si>
    <t>CP354512</t>
  </si>
  <si>
    <t>CCS2FECLG</t>
  </si>
  <si>
    <t>CCS2EHDLG</t>
  </si>
  <si>
    <t>CCS2T5</t>
  </si>
  <si>
    <t>CCS2RBLG</t>
  </si>
  <si>
    <t>A161206LP</t>
  </si>
  <si>
    <t>855PC-B24LE522</t>
  </si>
  <si>
    <t>CCS2T10</t>
  </si>
  <si>
    <t>PF1686</t>
  </si>
  <si>
    <t>PDS168SS</t>
  </si>
  <si>
    <t>PSS166SS</t>
  </si>
  <si>
    <t>PPF168</t>
  </si>
  <si>
    <t>PF1666</t>
  </si>
  <si>
    <t>PDS1668SS</t>
  </si>
  <si>
    <t>PPB166</t>
  </si>
  <si>
    <t>PGP66</t>
  </si>
  <si>
    <t>PT66SS</t>
  </si>
  <si>
    <t>PRA1916TP</t>
  </si>
  <si>
    <t>PGH3S6</t>
  </si>
  <si>
    <t>PJ2F</t>
  </si>
  <si>
    <t>PPP46</t>
  </si>
  <si>
    <t>HMI ENCLOSURE, REAR DOOR, 350X450X120MM</t>
  </si>
  <si>
    <t>ROTATIONAL BASE, PENDANT ARM RIGHT ANGLE</t>
  </si>
  <si>
    <t>ELBOW, PENDANT ARM</t>
  </si>
  <si>
    <t>PENDANT ARM TUBE, 500MM</t>
  </si>
  <si>
    <t>ROTATIONAL BASE</t>
  </si>
  <si>
    <t>12X16X6 ENCLOSURE</t>
  </si>
  <si>
    <t>SOUNDER / LED LAMP</t>
  </si>
  <si>
    <t>PENDANT ARM TUBE, 1000MM</t>
  </si>
  <si>
    <t xml:space="preserve">ENCLOSURE, 1600X800X600, FRAME </t>
  </si>
  <si>
    <t>ENCLOSURE, 1600X600X600, FRAME</t>
  </si>
  <si>
    <t xml:space="preserve">LEFT SIDE PANEL </t>
  </si>
  <si>
    <t>JOINING KIT</t>
  </si>
  <si>
    <t>LIGHT MOUNTING KIT</t>
  </si>
  <si>
    <t>SUB-PANELS</t>
  </si>
  <si>
    <t>-</t>
  </si>
  <si>
    <t>Number of Badges/Assets</t>
  </si>
  <si>
    <t>Badges/Assets</t>
  </si>
  <si>
    <t>Server Rack</t>
  </si>
  <si>
    <t>Dispatch</t>
  </si>
  <si>
    <t>Badging</t>
  </si>
  <si>
    <t>Gates</t>
  </si>
  <si>
    <t>Ingress Lanes</t>
  </si>
  <si>
    <t>Egress Lanes</t>
  </si>
  <si>
    <t>LENEL</t>
  </si>
  <si>
    <t>SOFTWARE: ONGUARD VIDEO CLIENT LICENSE</t>
  </si>
  <si>
    <t>ACCESS CLIENT WORKSTATION</t>
  </si>
  <si>
    <t>SEIDLE</t>
  </si>
  <si>
    <t>BELDEN</t>
  </si>
  <si>
    <t>DKS</t>
  </si>
  <si>
    <t xml:space="preserve">WEST PENN WIRE/CDT </t>
  </si>
  <si>
    <t>WEST PENN WIRE/CDT</t>
  </si>
  <si>
    <t>SOFTWARE OPTION: ONGUARD FORMSDESIGNER</t>
  </si>
  <si>
    <t>ASSET SOFTWARE: ONGUARD ADV</t>
  </si>
  <si>
    <t>SOFTWARE OPTION: CCTV INTERFACE</t>
  </si>
  <si>
    <t>SOFTWARE: ONGUARD VIDEO SERVER LICENSE</t>
  </si>
  <si>
    <t>SQL SERVER 2000 STANDARD EDITION 10 CLIENTS</t>
  </si>
  <si>
    <t>CONFIGURED SERVER</t>
  </si>
  <si>
    <t>INTEGRATED SOLUTION FOR SERVER</t>
  </si>
  <si>
    <t>CAMERA, COLOR (INTERCOM)</t>
  </si>
  <si>
    <t>SOFTWARE: 8-CAMERA CHANNEL DEVICE LICENSE</t>
  </si>
  <si>
    <t>Pedestrian Gate</t>
  </si>
  <si>
    <t>Number of Pedestrian Gates</t>
  </si>
  <si>
    <t>Fiscal Year:</t>
  </si>
  <si>
    <t>Installation:</t>
  </si>
  <si>
    <t>Project Title:</t>
  </si>
  <si>
    <t>Project Number:</t>
  </si>
  <si>
    <t>Date:</t>
  </si>
  <si>
    <t>Equipment Cost</t>
  </si>
  <si>
    <t>Number of Gates</t>
  </si>
  <si>
    <t>Number in Ingress Lanes</t>
  </si>
  <si>
    <t>Number of Egress Lanes</t>
  </si>
  <si>
    <t xml:space="preserve">Project Title: </t>
  </si>
  <si>
    <t xml:space="preserve">Project Number: </t>
  </si>
  <si>
    <t xml:space="preserve">Fiscal Year: </t>
  </si>
  <si>
    <t xml:space="preserve">Date: </t>
  </si>
  <si>
    <t xml:space="preserve">Subtotal: </t>
  </si>
  <si>
    <t xml:space="preserve">ACF: </t>
  </si>
  <si>
    <t xml:space="preserve">Escalation: </t>
  </si>
  <si>
    <t>ACF:</t>
  </si>
  <si>
    <t>Escalation:</t>
  </si>
  <si>
    <t>Main Gate</t>
  </si>
  <si>
    <t>FY10</t>
  </si>
  <si>
    <t xml:space="preserve">ACF Adjustment: </t>
  </si>
  <si>
    <t xml:space="preserve">Escallation: </t>
  </si>
  <si>
    <t xml:space="preserve">Contingency (5.0%): </t>
  </si>
  <si>
    <t xml:space="preserve">Total Contract Cost: </t>
  </si>
  <si>
    <t xml:space="preserve">SIOH (8.0%): </t>
  </si>
  <si>
    <t>Integration, Testing, &amp; Training</t>
  </si>
  <si>
    <t xml:space="preserve">Total OPN Funding Request : </t>
  </si>
  <si>
    <t xml:space="preserve">SIGNAL TECHNOLOGIES </t>
  </si>
  <si>
    <t>APPLIED WIRELESS ID (AWID)</t>
  </si>
  <si>
    <t xml:space="preserve">APPLIED WIRELESS ID (AWID) </t>
  </si>
  <si>
    <t>APPLIED WIRELESS</t>
  </si>
  <si>
    <t>System Install/Programming Cost</t>
  </si>
  <si>
    <t>System Design Cost</t>
  </si>
  <si>
    <t>Your Name</t>
  </si>
  <si>
    <t xml:space="preserve">Part Number </t>
  </si>
  <si>
    <t>Unit Price</t>
  </si>
  <si>
    <t>Extended Price</t>
  </si>
  <si>
    <t xml:space="preserve">Number of gates: </t>
  </si>
  <si>
    <t xml:space="preserve">Number of egress lanes: </t>
  </si>
  <si>
    <t xml:space="preserve">Number of Pedestrian Gates: </t>
  </si>
  <si>
    <t xml:space="preserve">Number of ingress lanes: </t>
  </si>
  <si>
    <t xml:space="preserve">Number of Security Dispatch Stations: </t>
  </si>
  <si>
    <t xml:space="preserve">Number of Badging Stations: </t>
  </si>
  <si>
    <t xml:space="preserve">Number of Badges/Assets: </t>
  </si>
  <si>
    <t xml:space="preserve">Estimated by: </t>
  </si>
  <si>
    <t>Estimated By:</t>
  </si>
  <si>
    <t xml:space="preserve">Project Location: </t>
  </si>
  <si>
    <t>NAVSTA Anywhere</t>
  </si>
  <si>
    <t>P-XXX</t>
  </si>
  <si>
    <t xml:space="preserve">Equipment Cost: </t>
  </si>
  <si>
    <t>Equipment Cost:</t>
  </si>
  <si>
    <t>RADAR SENSOR UNITS</t>
  </si>
  <si>
    <t>000261</t>
  </si>
  <si>
    <t>EACH</t>
  </si>
  <si>
    <t>INTERFACE PANEL</t>
  </si>
  <si>
    <t>000268</t>
  </si>
  <si>
    <t>SENSOR MOUNTING BRACKETS</t>
  </si>
  <si>
    <t>LS</t>
  </si>
  <si>
    <t>INTERFACE PANEL &amp; DISPLAY UNIT MOUTING HARDWARE</t>
  </si>
  <si>
    <t>COMPUTER UNIT, MAIN DISPLAY INCLUDING SOFTWARE</t>
  </si>
  <si>
    <t>EXTERIOR DISPLAY UNITS</t>
  </si>
  <si>
    <t>CABLE, 24AWG, 6-PR, SHEILDED, STRANDED, [PUT-UPS: 150']</t>
  </si>
  <si>
    <t>Overspeed &amp; WrongWay Detection and Display System (ODDS) by USR GRAB Franklin, TN    615-224-0400</t>
  </si>
  <si>
    <t>Universal Safety Response, Inc.</t>
  </si>
  <si>
    <t>Sub Total</t>
  </si>
  <si>
    <t>Gate Automation Budget Estimator (Ver 12.07)</t>
  </si>
  <si>
    <t>Include the costs for infrastructure required to support the equipment installation and connectivity in the approprate location of block 9 of the DD 1391 with breakdown in the "Budget Estimate Summary Sheet".</t>
  </si>
  <si>
    <t xml:space="preserve">Above total does not include infrastructure, only equipment costs.  Enter Gate Automation Equipment costs in DD 1391, Block 12B, as a single line item titled  "Gate Automation Equipment".  Attach PDF of completed form to DD 1391.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</si>
</sst>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m/dd/yyyy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&quot;$&quot;#,##0"/>
    <numFmt numFmtId="173" formatCode="[$-409]dddd\,\ mmmm\ dd\,\ yyyy"/>
    <numFmt numFmtId="174" formatCode="&quot;$&quot;#,##0.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17">
    <font>
      <sz val="11"/>
      <name val="Tahom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name val="Tahoma"/>
      <family val="2"/>
    </font>
    <font>
      <sz val="12"/>
      <name val="Tahoma"/>
      <family val="0"/>
    </font>
    <font>
      <sz val="14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b/>
      <sz val="12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22" applyFont="1" applyFill="1" applyBorder="1" applyAlignment="1">
      <alignment horizontal="right"/>
      <protection/>
    </xf>
    <xf numFmtId="49" fontId="1" fillId="0" borderId="0" xfId="22" applyNumberFormat="1" applyFont="1" applyFill="1" applyBorder="1" applyAlignment="1">
      <alignment horizontal="left"/>
      <protection/>
    </xf>
    <xf numFmtId="49" fontId="1" fillId="0" borderId="0" xfId="22" applyNumberFormat="1" applyFont="1" applyFill="1" applyBorder="1">
      <alignment/>
      <protection/>
    </xf>
    <xf numFmtId="0" fontId="1" fillId="0" borderId="0" xfId="22" applyFont="1" applyFill="1" applyBorder="1">
      <alignment/>
      <protection/>
    </xf>
    <xf numFmtId="0" fontId="1" fillId="0" borderId="0" xfId="22" applyFont="1" applyFill="1" applyBorder="1" applyAlignment="1">
      <alignment horizontal="left"/>
      <protection/>
    </xf>
    <xf numFmtId="40" fontId="1" fillId="0" borderId="0" xfId="22" applyNumberFormat="1" applyFont="1" applyFill="1" applyBorder="1" applyAlignment="1">
      <alignment horizontal="right"/>
      <protection/>
    </xf>
    <xf numFmtId="49" fontId="4" fillId="0" borderId="0" xfId="22" applyNumberFormat="1" applyFont="1" applyFill="1" applyBorder="1" applyAlignment="1" applyProtection="1">
      <alignment horizontal="center"/>
      <protection/>
    </xf>
    <xf numFmtId="0" fontId="4" fillId="0" borderId="0" xfId="22" applyFont="1" applyFill="1" applyBorder="1" applyAlignment="1" applyProtection="1">
      <alignment horizontal="center"/>
      <protection/>
    </xf>
    <xf numFmtId="49" fontId="4" fillId="0" borderId="0" xfId="22" applyNumberFormat="1" applyFont="1" applyFill="1" applyBorder="1" applyAlignment="1" applyProtection="1">
      <alignment horizontal="left"/>
      <protection/>
    </xf>
    <xf numFmtId="0" fontId="1" fillId="0" borderId="0" xfId="22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horizontal="center"/>
      <protection/>
    </xf>
    <xf numFmtId="40" fontId="1" fillId="0" borderId="0" xfId="22" applyNumberFormat="1" applyFont="1" applyFill="1" applyBorder="1" applyAlignment="1">
      <alignment horizontal="center"/>
      <protection/>
    </xf>
    <xf numFmtId="40" fontId="4" fillId="0" borderId="0" xfId="22" applyNumberFormat="1" applyFont="1" applyFill="1" applyBorder="1" applyAlignment="1" applyProtection="1">
      <alignment horizontal="center"/>
      <protection/>
    </xf>
    <xf numFmtId="171" fontId="1" fillId="0" borderId="0" xfId="22" applyNumberFormat="1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1" fontId="1" fillId="0" borderId="0" xfId="22" applyNumberFormat="1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horizontal="left"/>
      <protection/>
    </xf>
    <xf numFmtId="171" fontId="4" fillId="0" borderId="0" xfId="17" applyNumberFormat="1" applyFont="1" applyFill="1" applyBorder="1" applyAlignment="1">
      <alignment horizontal="center"/>
    </xf>
    <xf numFmtId="0" fontId="5" fillId="0" borderId="0" xfId="22" applyFont="1" applyFill="1" applyBorder="1" applyAlignment="1" applyProtection="1">
      <alignment horizontal="left" vertical="center"/>
      <protection/>
    </xf>
    <xf numFmtId="44" fontId="7" fillId="0" borderId="0" xfId="17" applyFont="1" applyFill="1" applyBorder="1" applyAlignment="1">
      <alignment horizontal="right"/>
    </xf>
    <xf numFmtId="0" fontId="8" fillId="0" borderId="0" xfId="22" applyFont="1" applyFill="1" applyBorder="1" applyAlignment="1">
      <alignment horizontal="right"/>
      <protection/>
    </xf>
    <xf numFmtId="1" fontId="4" fillId="0" borderId="0" xfId="22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0" fillId="0" borderId="0" xfId="0" applyFont="1" applyAlignment="1">
      <alignment/>
    </xf>
    <xf numFmtId="0" fontId="11" fillId="0" borderId="0" xfId="22" applyFont="1" applyFill="1" applyBorder="1" applyAlignment="1">
      <alignment horizontal="left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1" xfId="22" applyFont="1" applyFill="1" applyBorder="1" applyAlignment="1">
      <alignment horizontal="right"/>
      <protection/>
    </xf>
    <xf numFmtId="0" fontId="7" fillId="0" borderId="4" xfId="22" applyFont="1" applyFill="1" applyBorder="1" applyAlignment="1">
      <alignment horizontal="right"/>
      <protection/>
    </xf>
    <xf numFmtId="0" fontId="11" fillId="0" borderId="0" xfId="22" applyFont="1" applyFill="1" applyBorder="1" applyAlignment="1">
      <alignment horizontal="right"/>
      <protection/>
    </xf>
    <xf numFmtId="0" fontId="12" fillId="0" borderId="0" xfId="22" applyFont="1" applyFill="1" applyBorder="1">
      <alignment/>
      <protection/>
    </xf>
    <xf numFmtId="0" fontId="12" fillId="0" borderId="0" xfId="22" applyFont="1" applyFill="1" applyBorder="1" applyAlignment="1">
      <alignment horizontal="right"/>
      <protection/>
    </xf>
    <xf numFmtId="49" fontId="12" fillId="0" borderId="0" xfId="22" applyNumberFormat="1" applyFont="1" applyFill="1" applyBorder="1" applyAlignment="1">
      <alignment horizontal="left"/>
      <protection/>
    </xf>
    <xf numFmtId="0" fontId="12" fillId="0" borderId="0" xfId="22" applyFont="1" applyFill="1" applyBorder="1" applyAlignment="1">
      <alignment horizontal="center"/>
      <protection/>
    </xf>
    <xf numFmtId="171" fontId="12" fillId="0" borderId="0" xfId="22" applyNumberFormat="1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/>
      <protection/>
    </xf>
    <xf numFmtId="0" fontId="12" fillId="0" borderId="0" xfId="22" applyFont="1" applyFill="1" applyBorder="1" applyAlignment="1">
      <alignment horizontal="left"/>
      <protection/>
    </xf>
    <xf numFmtId="49" fontId="12" fillId="0" borderId="0" xfId="22" applyNumberFormat="1" applyFont="1" applyFill="1" applyBorder="1">
      <alignment/>
      <protection/>
    </xf>
    <xf numFmtId="0" fontId="12" fillId="0" borderId="0" xfId="22" applyFont="1" applyFill="1" applyBorder="1" applyAlignment="1" quotePrefix="1">
      <alignment horizontal="center"/>
      <protection/>
    </xf>
    <xf numFmtId="171" fontId="12" fillId="0" borderId="0" xfId="17" applyNumberFormat="1" applyFont="1" applyFill="1" applyBorder="1" applyAlignment="1">
      <alignment horizontal="center"/>
    </xf>
    <xf numFmtId="0" fontId="12" fillId="0" borderId="0" xfId="21" applyFont="1" applyFill="1" applyBorder="1">
      <alignment/>
      <protection/>
    </xf>
    <xf numFmtId="1" fontId="12" fillId="0" borderId="0" xfId="22" applyNumberFormat="1" applyFont="1" applyFill="1" applyBorder="1" applyAlignment="1">
      <alignment horizontal="center"/>
      <protection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40" fontId="12" fillId="0" borderId="0" xfId="22" applyNumberFormat="1" applyFont="1" applyFill="1" applyBorder="1" applyAlignment="1">
      <alignment horizontal="center"/>
      <protection/>
    </xf>
    <xf numFmtId="164" fontId="12" fillId="0" borderId="0" xfId="22" applyNumberFormat="1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7" fontId="10" fillId="0" borderId="0" xfId="17" applyNumberFormat="1" applyFont="1" applyAlignment="1">
      <alignment horizontal="center"/>
    </xf>
    <xf numFmtId="44" fontId="10" fillId="0" borderId="0" xfId="17" applyFont="1" applyAlignment="1" quotePrefix="1">
      <alignment horizontal="center"/>
    </xf>
    <xf numFmtId="171" fontId="12" fillId="0" borderId="0" xfId="22" applyNumberFormat="1" applyFont="1" applyFill="1" applyBorder="1">
      <alignment/>
      <protection/>
    </xf>
    <xf numFmtId="49" fontId="12" fillId="0" borderId="0" xfId="22" applyNumberFormat="1" applyFont="1" applyFill="1" applyBorder="1" applyAlignment="1">
      <alignment horizontal="left"/>
      <protection/>
    </xf>
    <xf numFmtId="0" fontId="12" fillId="0" borderId="0" xfId="22" applyFont="1" applyFill="1" applyAlignment="1">
      <alignment horizontal="center"/>
      <protection/>
    </xf>
    <xf numFmtId="0" fontId="10" fillId="0" borderId="0" xfId="0" applyNumberFormat="1" applyFont="1" applyBorder="1" applyAlignment="1">
      <alignment horizontal="center"/>
    </xf>
    <xf numFmtId="0" fontId="12" fillId="0" borderId="0" xfId="22" applyFont="1" applyFill="1" applyBorder="1" applyAlignment="1">
      <alignment wrapText="1"/>
      <protection/>
    </xf>
    <xf numFmtId="17" fontId="12" fillId="0" borderId="0" xfId="22" applyNumberFormat="1" applyFont="1" applyFill="1" applyBorder="1" applyAlignment="1">
      <alignment horizontal="center"/>
      <protection/>
    </xf>
    <xf numFmtId="49" fontId="12" fillId="0" borderId="0" xfId="22" applyNumberFormat="1" applyFont="1" applyFill="1" applyBorder="1" applyAlignment="1">
      <alignment horizontal="center"/>
      <protection/>
    </xf>
    <xf numFmtId="40" fontId="12" fillId="0" borderId="0" xfId="22" applyNumberFormat="1" applyFont="1" applyFill="1" applyBorder="1" applyAlignment="1">
      <alignment horizontal="righ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wrapText="1"/>
      <protection/>
    </xf>
    <xf numFmtId="49" fontId="12" fillId="0" borderId="0" xfId="22" applyNumberFormat="1" applyFont="1" applyFill="1" applyBorder="1">
      <alignment/>
      <protection/>
    </xf>
    <xf numFmtId="17" fontId="12" fillId="0" borderId="0" xfId="22" applyNumberFormat="1" applyFont="1" applyFill="1" applyBorder="1" applyAlignment="1">
      <alignment horizontal="center"/>
      <protection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172" fontId="10" fillId="0" borderId="7" xfId="0" applyNumberFormat="1" applyFont="1" applyBorder="1" applyAlignment="1">
      <alignment/>
    </xf>
    <xf numFmtId="172" fontId="10" fillId="0" borderId="8" xfId="0" applyNumberFormat="1" applyFont="1" applyBorder="1" applyAlignment="1">
      <alignment/>
    </xf>
    <xf numFmtId="172" fontId="10" fillId="0" borderId="9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172" fontId="9" fillId="0" borderId="9" xfId="0" applyNumberFormat="1" applyFont="1" applyBorder="1" applyAlignment="1">
      <alignment/>
    </xf>
    <xf numFmtId="0" fontId="1" fillId="0" borderId="1" xfId="22" applyFont="1" applyFill="1" applyBorder="1" applyAlignment="1">
      <alignment horizontal="right"/>
      <protection/>
    </xf>
    <xf numFmtId="0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7" fillId="0" borderId="3" xfId="0" applyFont="1" applyBorder="1" applyAlignment="1">
      <alignment horizontal="right" vertical="center"/>
    </xf>
    <xf numFmtId="0" fontId="5" fillId="0" borderId="10" xfId="22" applyFont="1" applyFill="1" applyBorder="1" applyAlignment="1">
      <alignment horizontal="right"/>
      <protection/>
    </xf>
    <xf numFmtId="0" fontId="11" fillId="0" borderId="10" xfId="22" applyFont="1" applyFill="1" applyBorder="1" applyAlignment="1">
      <alignment horizontal="right"/>
      <protection/>
    </xf>
    <xf numFmtId="1" fontId="1" fillId="0" borderId="10" xfId="22" applyNumberFormat="1" applyFont="1" applyFill="1" applyBorder="1" applyAlignment="1">
      <alignment horizontal="center"/>
      <protection/>
    </xf>
    <xf numFmtId="0" fontId="5" fillId="0" borderId="11" xfId="22" applyFont="1" applyFill="1" applyBorder="1" applyAlignment="1">
      <alignment horizontal="right"/>
      <protection/>
    </xf>
    <xf numFmtId="0" fontId="1" fillId="0" borderId="12" xfId="22" applyFont="1" applyFill="1" applyBorder="1" applyAlignment="1">
      <alignment horizontal="right"/>
      <protection/>
    </xf>
    <xf numFmtId="1" fontId="1" fillId="0" borderId="13" xfId="22" applyNumberFormat="1" applyFont="1" applyFill="1" applyBorder="1" applyAlignment="1">
      <alignment horizontal="center"/>
      <protection/>
    </xf>
    <xf numFmtId="0" fontId="11" fillId="0" borderId="13" xfId="22" applyFont="1" applyFill="1" applyBorder="1" applyAlignment="1">
      <alignment horizontal="right"/>
      <protection/>
    </xf>
    <xf numFmtId="0" fontId="1" fillId="0" borderId="14" xfId="22" applyFont="1" applyFill="1" applyBorder="1" applyAlignment="1">
      <alignment horizontal="right"/>
      <protection/>
    </xf>
    <xf numFmtId="0" fontId="1" fillId="0" borderId="14" xfId="22" applyFont="1" applyFill="1" applyBorder="1">
      <alignment/>
      <protection/>
    </xf>
    <xf numFmtId="0" fontId="1" fillId="0" borderId="14" xfId="22" applyFont="1" applyFill="1" applyBorder="1" applyAlignment="1">
      <alignment horizontal="left"/>
      <protection/>
    </xf>
    <xf numFmtId="0" fontId="1" fillId="0" borderId="15" xfId="22" applyFont="1" applyFill="1" applyBorder="1" applyAlignment="1">
      <alignment horizontal="left"/>
      <protection/>
    </xf>
    <xf numFmtId="1" fontId="1" fillId="0" borderId="16" xfId="22" applyNumberFormat="1" applyFont="1" applyFill="1" applyBorder="1" applyAlignment="1">
      <alignment horizontal="center"/>
      <protection/>
    </xf>
    <xf numFmtId="0" fontId="11" fillId="0" borderId="16" xfId="22" applyFont="1" applyFill="1" applyBorder="1" applyAlignment="1">
      <alignment horizontal="right"/>
      <protection/>
    </xf>
    <xf numFmtId="0" fontId="11" fillId="0" borderId="17" xfId="22" applyFont="1" applyFill="1" applyBorder="1" applyAlignment="1">
      <alignment horizontal="left"/>
      <protection/>
    </xf>
    <xf numFmtId="0" fontId="11" fillId="0" borderId="18" xfId="22" applyFont="1" applyFill="1" applyBorder="1" applyAlignment="1">
      <alignment horizontal="left"/>
      <protection/>
    </xf>
    <xf numFmtId="14" fontId="11" fillId="0" borderId="18" xfId="22" applyNumberFormat="1" applyFont="1" applyFill="1" applyBorder="1" applyAlignment="1">
      <alignment horizontal="left"/>
      <protection/>
    </xf>
    <xf numFmtId="0" fontId="11" fillId="0" borderId="19" xfId="22" applyFont="1" applyFill="1" applyBorder="1" applyAlignment="1">
      <alignment horizontal="left"/>
      <protection/>
    </xf>
    <xf numFmtId="0" fontId="5" fillId="0" borderId="20" xfId="22" applyFont="1" applyFill="1" applyBorder="1" applyAlignment="1">
      <alignment horizontal="right"/>
      <protection/>
    </xf>
    <xf numFmtId="0" fontId="5" fillId="0" borderId="21" xfId="22" applyFont="1" applyFill="1" applyBorder="1" applyAlignment="1">
      <alignment horizontal="center"/>
      <protection/>
    </xf>
    <xf numFmtId="49" fontId="5" fillId="0" borderId="6" xfId="22" applyNumberFormat="1" applyFont="1" applyFill="1" applyBorder="1" applyAlignment="1">
      <alignment horizontal="right"/>
      <protection/>
    </xf>
    <xf numFmtId="172" fontId="5" fillId="0" borderId="22" xfId="22" applyNumberFormat="1" applyFont="1" applyFill="1" applyBorder="1" applyAlignment="1">
      <alignment horizontal="center"/>
      <protection/>
    </xf>
    <xf numFmtId="172" fontId="5" fillId="0" borderId="0" xfId="17" applyNumberFormat="1" applyFont="1" applyFill="1" applyBorder="1" applyAlignment="1">
      <alignment horizontal="center"/>
    </xf>
    <xf numFmtId="0" fontId="11" fillId="0" borderId="6" xfId="22" applyFont="1" applyFill="1" applyBorder="1">
      <alignment/>
      <protection/>
    </xf>
    <xf numFmtId="0" fontId="5" fillId="0" borderId="6" xfId="22" applyFont="1" applyFill="1" applyBorder="1" applyAlignment="1" applyProtection="1">
      <alignment horizontal="right"/>
      <protection/>
    </xf>
    <xf numFmtId="1" fontId="5" fillId="0" borderId="6" xfId="22" applyNumberFormat="1" applyFont="1" applyFill="1" applyBorder="1" applyAlignment="1" applyProtection="1">
      <alignment horizontal="center"/>
      <protection/>
    </xf>
    <xf numFmtId="49" fontId="5" fillId="0" borderId="6" xfId="22" applyNumberFormat="1" applyFont="1" applyFill="1" applyBorder="1" applyAlignment="1" applyProtection="1">
      <alignment horizontal="left"/>
      <protection/>
    </xf>
    <xf numFmtId="49" fontId="5" fillId="0" borderId="6" xfId="22" applyNumberFormat="1" applyFont="1" applyFill="1" applyBorder="1" applyAlignment="1" applyProtection="1">
      <alignment horizontal="center"/>
      <protection/>
    </xf>
    <xf numFmtId="0" fontId="5" fillId="0" borderId="6" xfId="22" applyFont="1" applyFill="1" applyBorder="1" applyAlignment="1" applyProtection="1">
      <alignment horizontal="center"/>
      <protection/>
    </xf>
    <xf numFmtId="40" fontId="5" fillId="0" borderId="6" xfId="22" applyNumberFormat="1" applyFont="1" applyFill="1" applyBorder="1" applyAlignment="1" applyProtection="1">
      <alignment horizontal="center"/>
      <protection/>
    </xf>
    <xf numFmtId="0" fontId="11" fillId="0" borderId="0" xfId="22" applyFont="1" applyFill="1" applyBorder="1">
      <alignment/>
      <protection/>
    </xf>
    <xf numFmtId="0" fontId="1" fillId="0" borderId="0" xfId="22" applyFont="1" applyFill="1" applyBorder="1" applyAlignment="1" quotePrefix="1">
      <alignment horizontal="center"/>
      <protection/>
    </xf>
    <xf numFmtId="171" fontId="1" fillId="0" borderId="0" xfId="22" applyNumberFormat="1" applyFont="1" applyFill="1" applyBorder="1">
      <alignment/>
      <protection/>
    </xf>
    <xf numFmtId="171" fontId="10" fillId="0" borderId="0" xfId="0" applyNumberFormat="1" applyFont="1" applyAlignment="1">
      <alignment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12" fillId="2" borderId="0" xfId="22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/>
      <protection locked="0"/>
    </xf>
    <xf numFmtId="14" fontId="12" fillId="2" borderId="0" xfId="22" applyNumberFormat="1" applyFont="1" applyFill="1" applyBorder="1" applyAlignment="1" applyProtection="1">
      <alignment horizontal="left"/>
      <protection locked="0"/>
    </xf>
    <xf numFmtId="0" fontId="12" fillId="2" borderId="6" xfId="22" applyFont="1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MR_A.Rev1_0233" xfId="21"/>
    <cellStyle name="Normal_EMR_A_023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B2" sqref="B2"/>
    </sheetView>
  </sheetViews>
  <sheetFormatPr defaultColWidth="9.00390625" defaultRowHeight="14.25"/>
  <cols>
    <col min="1" max="1" width="34.00390625" style="0" customWidth="1"/>
    <col min="2" max="2" width="36.50390625" style="0" customWidth="1"/>
    <col min="3" max="3" width="16.125" style="0" customWidth="1"/>
  </cols>
  <sheetData>
    <row r="1" spans="1:3" ht="19.5" customHeight="1" thickBot="1">
      <c r="A1" s="136" t="s">
        <v>451</v>
      </c>
      <c r="B1" s="137"/>
      <c r="C1" s="138"/>
    </row>
    <row r="2" spans="1:3" ht="15.75" customHeight="1">
      <c r="A2" s="86" t="s">
        <v>430</v>
      </c>
      <c r="B2" s="120" t="s">
        <v>419</v>
      </c>
      <c r="C2" s="121"/>
    </row>
    <row r="3" spans="1:3" ht="15.75" customHeight="1">
      <c r="A3" s="30" t="s">
        <v>395</v>
      </c>
      <c r="B3" s="122" t="s">
        <v>404</v>
      </c>
      <c r="C3" s="123"/>
    </row>
    <row r="4" spans="1:3" ht="15.75" customHeight="1">
      <c r="A4" s="30" t="s">
        <v>432</v>
      </c>
      <c r="B4" s="122" t="s">
        <v>433</v>
      </c>
      <c r="C4" s="123"/>
    </row>
    <row r="5" spans="1:3" ht="15.75" customHeight="1">
      <c r="A5" s="30" t="s">
        <v>396</v>
      </c>
      <c r="B5" s="122" t="s">
        <v>434</v>
      </c>
      <c r="C5" s="123"/>
    </row>
    <row r="6" spans="1:3" ht="15.75" customHeight="1">
      <c r="A6" s="30" t="s">
        <v>397</v>
      </c>
      <c r="B6" s="122" t="s">
        <v>405</v>
      </c>
      <c r="C6" s="123"/>
    </row>
    <row r="7" spans="1:3" ht="15.75" customHeight="1">
      <c r="A7" s="30" t="s">
        <v>398</v>
      </c>
      <c r="B7" s="124">
        <v>39430</v>
      </c>
      <c r="C7" s="123"/>
    </row>
    <row r="8" spans="1:3" ht="15.75" customHeight="1">
      <c r="A8" s="30" t="s">
        <v>400</v>
      </c>
      <c r="B8" s="122">
        <v>0.94</v>
      </c>
      <c r="C8" s="123"/>
    </row>
    <row r="9" spans="1:3" ht="15.75" customHeight="1" thickBot="1">
      <c r="A9" s="31" t="s">
        <v>401</v>
      </c>
      <c r="B9" s="125">
        <v>1.15</v>
      </c>
      <c r="C9" s="126"/>
    </row>
    <row r="10" spans="1:3" ht="15" thickBot="1">
      <c r="A10" s="24"/>
      <c r="B10" s="127"/>
      <c r="C10" s="128"/>
    </row>
    <row r="11" spans="1:3" ht="15">
      <c r="A11" s="83" t="s">
        <v>392</v>
      </c>
      <c r="B11" s="129">
        <v>1</v>
      </c>
      <c r="C11" s="130"/>
    </row>
    <row r="12" spans="1:3" ht="15">
      <c r="A12" s="84" t="s">
        <v>393</v>
      </c>
      <c r="B12" s="131">
        <v>4</v>
      </c>
      <c r="C12" s="123"/>
    </row>
    <row r="13" spans="1:3" ht="15">
      <c r="A13" s="84" t="s">
        <v>394</v>
      </c>
      <c r="B13" s="131">
        <v>2</v>
      </c>
      <c r="C13" s="123"/>
    </row>
    <row r="14" spans="1:3" ht="15">
      <c r="A14" s="84" t="s">
        <v>385</v>
      </c>
      <c r="B14" s="131">
        <v>1</v>
      </c>
      <c r="C14" s="123"/>
    </row>
    <row r="15" spans="1:3" ht="15">
      <c r="A15" s="84" t="s">
        <v>314</v>
      </c>
      <c r="B15" s="131">
        <v>1</v>
      </c>
      <c r="C15" s="123"/>
    </row>
    <row r="16" spans="1:3" ht="15">
      <c r="A16" s="84" t="s">
        <v>315</v>
      </c>
      <c r="B16" s="131">
        <v>2</v>
      </c>
      <c r="C16" s="123"/>
    </row>
    <row r="17" spans="1:3" ht="15.75" thickBot="1">
      <c r="A17" s="85" t="s">
        <v>359</v>
      </c>
      <c r="B17" s="132">
        <v>1000</v>
      </c>
      <c r="C17" s="126"/>
    </row>
    <row r="18" spans="1:3" ht="14.25">
      <c r="A18" s="24"/>
      <c r="B18" s="16"/>
      <c r="C18" s="25"/>
    </row>
    <row r="19" spans="1:3" ht="15" thickBot="1">
      <c r="A19" s="24"/>
      <c r="B19" s="16"/>
      <c r="C19" s="25"/>
    </row>
    <row r="20" spans="1:3" ht="15">
      <c r="A20" s="28"/>
      <c r="B20" s="69" t="s">
        <v>391</v>
      </c>
      <c r="C20" s="71">
        <f>'Equipment Breakdown'!I236</f>
        <v>251606.7859999999</v>
      </c>
    </row>
    <row r="21" spans="1:3" ht="15">
      <c r="A21" s="24"/>
      <c r="B21" s="45" t="s">
        <v>418</v>
      </c>
      <c r="C21" s="72">
        <f>C20*0.1</f>
        <v>25160.678599999992</v>
      </c>
    </row>
    <row r="22" spans="1:3" ht="15">
      <c r="A22" s="24"/>
      <c r="B22" s="45" t="s">
        <v>417</v>
      </c>
      <c r="C22" s="72">
        <f>C20*0.3</f>
        <v>75482.03579999997</v>
      </c>
    </row>
    <row r="23" spans="1:3" ht="15.75" thickBot="1">
      <c r="A23" s="29"/>
      <c r="B23" s="70" t="s">
        <v>411</v>
      </c>
      <c r="C23" s="73">
        <f>0.1*SUM(C20:C22)</f>
        <v>35224.95003999999</v>
      </c>
    </row>
    <row r="24" spans="1:3" ht="15">
      <c r="A24" s="28"/>
      <c r="B24" s="74" t="s">
        <v>399</v>
      </c>
      <c r="C24" s="71">
        <f>SUM(C20:C23)</f>
        <v>387474.4504399998</v>
      </c>
    </row>
    <row r="25" spans="1:3" ht="15">
      <c r="A25" s="24"/>
      <c r="B25" s="75" t="s">
        <v>406</v>
      </c>
      <c r="C25" s="72">
        <f>C24*B8</f>
        <v>364225.9834135998</v>
      </c>
    </row>
    <row r="26" spans="1:3" ht="15">
      <c r="A26" s="24"/>
      <c r="B26" s="76" t="s">
        <v>407</v>
      </c>
      <c r="C26" s="72">
        <f>C25*B9</f>
        <v>418859.8809256397</v>
      </c>
    </row>
    <row r="27" spans="1:3" ht="15">
      <c r="A27" s="24"/>
      <c r="B27" s="75" t="s">
        <v>408</v>
      </c>
      <c r="C27" s="72">
        <f>C26*0.05</f>
        <v>20942.994046281987</v>
      </c>
    </row>
    <row r="28" spans="1:3" ht="15">
      <c r="A28" s="24"/>
      <c r="B28" s="75" t="s">
        <v>409</v>
      </c>
      <c r="C28" s="72">
        <f>SUM(C26:C27)</f>
        <v>439802.8749719217</v>
      </c>
    </row>
    <row r="29" spans="1:3" ht="15">
      <c r="A29" s="24"/>
      <c r="B29" s="75" t="s">
        <v>410</v>
      </c>
      <c r="C29" s="72">
        <f>C28*0.08</f>
        <v>35184.22999775373</v>
      </c>
    </row>
    <row r="30" spans="1:3" ht="15.75" thickBot="1">
      <c r="A30" s="29"/>
      <c r="B30" s="77" t="s">
        <v>399</v>
      </c>
      <c r="C30" s="73">
        <f>SUM(C28:C29)</f>
        <v>474987.1049696754</v>
      </c>
    </row>
    <row r="31" spans="2:3" ht="18.75" thickBot="1">
      <c r="B31" s="78" t="s">
        <v>412</v>
      </c>
      <c r="C31" s="79">
        <f>ROUNDUP((C30),2-LEN(INT(C30)))</f>
        <v>480000</v>
      </c>
    </row>
    <row r="33" spans="1:3" ht="67.5" customHeight="1">
      <c r="A33" s="139" t="s">
        <v>453</v>
      </c>
      <c r="B33" s="140"/>
      <c r="C33" s="140"/>
    </row>
    <row r="34" spans="1:3" s="135" customFormat="1" ht="54" customHeight="1">
      <c r="A34" s="139" t="s">
        <v>452</v>
      </c>
      <c r="B34" s="141"/>
      <c r="C34" s="141"/>
    </row>
    <row r="35" ht="14.25">
      <c r="A35" s="133"/>
    </row>
    <row r="36" ht="14.25">
      <c r="A36" s="134"/>
    </row>
    <row r="37" ht="14.25">
      <c r="A37" s="134"/>
    </row>
  </sheetData>
  <sheetProtection password="DEAC" sheet="1" objects="1" scenarios="1" selectLockedCells="1"/>
  <mergeCells count="3">
    <mergeCell ref="A1:C1"/>
    <mergeCell ref="A33:C33"/>
    <mergeCell ref="A34:C34"/>
  </mergeCells>
  <printOptions/>
  <pageMargins left="0.75" right="0.5" top="1" bottom="1" header="0.5" footer="0.5"/>
  <pageSetup horizontalDpi="600" verticalDpi="600" orientation="portrait" r:id="rId3"/>
  <headerFooter alignWithMargins="0"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8"/>
  <sheetViews>
    <sheetView showZeros="0" zoomScale="70" zoomScaleNormal="70" workbookViewId="0" topLeftCell="A1">
      <pane ySplit="11" topLeftCell="BM12" activePane="bottomLeft" state="frozen"/>
      <selection pane="topLeft" activeCell="A1" sqref="A1"/>
      <selection pane="bottomLeft" activeCell="A16" sqref="A16"/>
    </sheetView>
  </sheetViews>
  <sheetFormatPr defaultColWidth="9.00390625" defaultRowHeight="14.25"/>
  <cols>
    <col min="1" max="1" width="2.375" style="4" customWidth="1"/>
    <col min="2" max="2" width="6.125" style="1" customWidth="1"/>
    <col min="3" max="3" width="6.625" style="17" customWidth="1"/>
    <col min="4" max="4" width="7.625" style="5" customWidth="1"/>
    <col min="5" max="5" width="80.25390625" style="4" customWidth="1"/>
    <col min="6" max="6" width="47.75390625" style="4" customWidth="1"/>
    <col min="7" max="7" width="19.375" style="4" customWidth="1"/>
    <col min="8" max="8" width="16.75390625" style="6" bestFit="1" customWidth="1"/>
    <col min="9" max="9" width="18.375" style="6" customWidth="1"/>
    <col min="10" max="10" width="16.50390625" style="4" customWidth="1"/>
    <col min="11" max="16384" width="8.00390625" style="4" customWidth="1"/>
  </cols>
  <sheetData>
    <row r="1" spans="3:5" ht="18.75" thickBot="1">
      <c r="C1" s="15"/>
      <c r="E1" s="18"/>
    </row>
    <row r="2" spans="2:7" ht="18">
      <c r="B2" s="91"/>
      <c r="C2" s="92"/>
      <c r="D2" s="93" t="s">
        <v>431</v>
      </c>
      <c r="E2" s="100" t="str">
        <f>'PROJECT INPUT'!B2</f>
        <v>Your Name</v>
      </c>
      <c r="F2" s="104" t="s">
        <v>423</v>
      </c>
      <c r="G2" s="105">
        <f>'PROJECT INPUT'!B11</f>
        <v>1</v>
      </c>
    </row>
    <row r="3" spans="2:7" ht="18">
      <c r="B3" s="94"/>
      <c r="C3" s="87"/>
      <c r="D3" s="88" t="s">
        <v>387</v>
      </c>
      <c r="E3" s="101" t="str">
        <f>'PROJECT INPUT'!B3</f>
        <v>Main Gate</v>
      </c>
      <c r="F3" s="90" t="s">
        <v>426</v>
      </c>
      <c r="G3" s="105">
        <f>'PROJECT INPUT'!B12</f>
        <v>4</v>
      </c>
    </row>
    <row r="4" spans="2:7" ht="18">
      <c r="B4" s="94"/>
      <c r="C4" s="87"/>
      <c r="D4" s="88" t="s">
        <v>388</v>
      </c>
      <c r="E4" s="101" t="str">
        <f>'PROJECT INPUT'!B4</f>
        <v>NAVSTA Anywhere</v>
      </c>
      <c r="F4" s="90" t="s">
        <v>424</v>
      </c>
      <c r="G4" s="105">
        <f>'PROJECT INPUT'!B13</f>
        <v>2</v>
      </c>
    </row>
    <row r="5" spans="2:7" ht="18">
      <c r="B5" s="94"/>
      <c r="C5" s="87"/>
      <c r="D5" s="88" t="s">
        <v>389</v>
      </c>
      <c r="E5" s="101" t="str">
        <f>'PROJECT INPUT'!B5</f>
        <v>P-XXX</v>
      </c>
      <c r="F5" s="90" t="s">
        <v>425</v>
      </c>
      <c r="G5" s="105">
        <f>'PROJECT INPUT'!B14</f>
        <v>1</v>
      </c>
    </row>
    <row r="6" spans="2:7" ht="18">
      <c r="B6" s="80"/>
      <c r="C6" s="15"/>
      <c r="D6" s="32" t="s">
        <v>386</v>
      </c>
      <c r="E6" s="27" t="str">
        <f>'PROJECT INPUT'!B6</f>
        <v>FY10</v>
      </c>
      <c r="F6" s="90" t="s">
        <v>427</v>
      </c>
      <c r="G6" s="105">
        <f>'PROJECT INPUT'!B15</f>
        <v>1</v>
      </c>
    </row>
    <row r="7" spans="2:7" ht="18">
      <c r="B7" s="95"/>
      <c r="C7" s="89"/>
      <c r="D7" s="88" t="s">
        <v>390</v>
      </c>
      <c r="E7" s="102">
        <f>'PROJECT INPUT'!B7</f>
        <v>39430</v>
      </c>
      <c r="F7" s="90" t="s">
        <v>428</v>
      </c>
      <c r="G7" s="105">
        <f>'PROJECT INPUT'!B16</f>
        <v>2</v>
      </c>
    </row>
    <row r="8" spans="2:9" ht="18">
      <c r="B8" s="96"/>
      <c r="C8" s="89"/>
      <c r="D8" s="88" t="s">
        <v>402</v>
      </c>
      <c r="E8" s="101">
        <f>'PROJECT INPUT'!B8</f>
        <v>0.94</v>
      </c>
      <c r="F8" s="90" t="s">
        <v>429</v>
      </c>
      <c r="G8" s="105">
        <f>'PROJECT INPUT'!B17</f>
        <v>1000</v>
      </c>
      <c r="H8" s="12"/>
      <c r="I8" s="12"/>
    </row>
    <row r="9" spans="2:9" ht="18.75" thickBot="1">
      <c r="B9" s="97"/>
      <c r="C9" s="98"/>
      <c r="D9" s="99" t="s">
        <v>403</v>
      </c>
      <c r="E9" s="103">
        <f>'PROJECT INPUT'!B9</f>
        <v>1.15</v>
      </c>
      <c r="F9" s="106" t="s">
        <v>435</v>
      </c>
      <c r="G9" s="107">
        <f>I236</f>
        <v>251606.7859999999</v>
      </c>
      <c r="H9" s="12"/>
      <c r="I9" s="12"/>
    </row>
    <row r="10" spans="2:9" ht="18">
      <c r="B10" s="5"/>
      <c r="D10" s="2"/>
      <c r="E10" s="27"/>
      <c r="F10" s="3"/>
      <c r="G10" s="5"/>
      <c r="H10" s="12"/>
      <c r="I10" s="12"/>
    </row>
    <row r="11" spans="1:10" s="116" customFormat="1" ht="30" customHeight="1" thickBot="1">
      <c r="A11" s="109"/>
      <c r="B11" s="110" t="s">
        <v>199</v>
      </c>
      <c r="C11" s="111" t="s">
        <v>0</v>
      </c>
      <c r="D11" s="112" t="s">
        <v>1</v>
      </c>
      <c r="E11" s="113" t="s">
        <v>2</v>
      </c>
      <c r="F11" s="113" t="s">
        <v>3</v>
      </c>
      <c r="G11" s="114" t="s">
        <v>420</v>
      </c>
      <c r="H11" s="115" t="s">
        <v>421</v>
      </c>
      <c r="I11" s="115" t="s">
        <v>422</v>
      </c>
      <c r="J11" s="115" t="s">
        <v>450</v>
      </c>
    </row>
    <row r="12" spans="2:9" ht="18">
      <c r="B12" s="20" t="s">
        <v>360</v>
      </c>
      <c r="C12" s="23"/>
      <c r="D12" s="9"/>
      <c r="E12" s="7"/>
      <c r="F12" s="7"/>
      <c r="G12" s="8"/>
      <c r="H12" s="13"/>
      <c r="I12" s="13"/>
    </row>
    <row r="13" spans="2:9" s="33" customFormat="1" ht="15">
      <c r="B13" s="34">
        <v>18</v>
      </c>
      <c r="C13" s="36">
        <f>$G$8</f>
        <v>1000</v>
      </c>
      <c r="D13" s="35" t="s">
        <v>132</v>
      </c>
      <c r="E13" s="33" t="s">
        <v>6</v>
      </c>
      <c r="F13" s="33" t="s">
        <v>414</v>
      </c>
      <c r="G13" s="36" t="s">
        <v>7</v>
      </c>
      <c r="H13" s="37">
        <v>14.5</v>
      </c>
      <c r="I13" s="37">
        <f>C13*H13</f>
        <v>14500</v>
      </c>
    </row>
    <row r="14" spans="2:9" s="33" customFormat="1" ht="15">
      <c r="B14" s="34">
        <v>19</v>
      </c>
      <c r="C14" s="36">
        <f>$G$8</f>
        <v>1000</v>
      </c>
      <c r="D14" s="35" t="s">
        <v>132</v>
      </c>
      <c r="E14" s="33" t="s">
        <v>8</v>
      </c>
      <c r="F14" s="33" t="s">
        <v>414</v>
      </c>
      <c r="G14" s="36" t="s">
        <v>9</v>
      </c>
      <c r="H14" s="37">
        <v>14.5</v>
      </c>
      <c r="I14" s="37">
        <f>C14*H14</f>
        <v>14500</v>
      </c>
    </row>
    <row r="15" spans="2:9" s="33" customFormat="1" ht="15">
      <c r="B15" s="34">
        <v>101</v>
      </c>
      <c r="C15" s="36">
        <f>$G$8</f>
        <v>1000</v>
      </c>
      <c r="D15" s="35" t="s">
        <v>132</v>
      </c>
      <c r="E15" s="33" t="s">
        <v>86</v>
      </c>
      <c r="F15" s="33" t="s">
        <v>367</v>
      </c>
      <c r="G15" s="36" t="s">
        <v>87</v>
      </c>
      <c r="H15" s="37">
        <v>6.9</v>
      </c>
      <c r="I15" s="37">
        <f>C15*H15</f>
        <v>6900</v>
      </c>
    </row>
    <row r="16" spans="3:10" ht="12.75">
      <c r="C16" s="10"/>
      <c r="D16" s="2"/>
      <c r="G16" s="10"/>
      <c r="H16" s="14"/>
      <c r="I16" s="14"/>
      <c r="J16" s="118">
        <f>SUM(I13:I15)</f>
        <v>35900</v>
      </c>
    </row>
    <row r="17" spans="2:9" ht="18">
      <c r="B17" s="20" t="s">
        <v>363</v>
      </c>
      <c r="C17" s="23"/>
      <c r="D17" s="9"/>
      <c r="E17" s="7"/>
      <c r="F17" s="7"/>
      <c r="G17" s="8"/>
      <c r="H17" s="13"/>
      <c r="I17" s="13"/>
    </row>
    <row r="18" spans="2:9" s="33" customFormat="1" ht="15">
      <c r="B18" s="38">
        <v>49</v>
      </c>
      <c r="C18" s="36">
        <f>$G$7</f>
        <v>2</v>
      </c>
      <c r="D18" s="35" t="s">
        <v>132</v>
      </c>
      <c r="E18" s="39" t="s">
        <v>59</v>
      </c>
      <c r="F18" s="40" t="s">
        <v>60</v>
      </c>
      <c r="G18" s="36" t="s">
        <v>61</v>
      </c>
      <c r="H18" s="37">
        <v>6095</v>
      </c>
      <c r="I18" s="37">
        <f>C18*H18</f>
        <v>12190</v>
      </c>
    </row>
    <row r="19" spans="2:9" s="33" customFormat="1" ht="15">
      <c r="B19" s="34">
        <v>98</v>
      </c>
      <c r="C19" s="36">
        <f>$G$7</f>
        <v>2</v>
      </c>
      <c r="D19" s="35" t="s">
        <v>132</v>
      </c>
      <c r="E19" s="33" t="s">
        <v>213</v>
      </c>
      <c r="F19" s="33" t="s">
        <v>367</v>
      </c>
      <c r="G19" s="36" t="s">
        <v>77</v>
      </c>
      <c r="H19" s="37">
        <v>3150</v>
      </c>
      <c r="I19" s="37">
        <f>C19*H19</f>
        <v>6300</v>
      </c>
    </row>
    <row r="20" spans="2:9" s="33" customFormat="1" ht="15">
      <c r="B20" s="34">
        <v>100</v>
      </c>
      <c r="C20" s="36">
        <f>$G$7</f>
        <v>2</v>
      </c>
      <c r="D20" s="35" t="s">
        <v>132</v>
      </c>
      <c r="E20" s="33" t="s">
        <v>84</v>
      </c>
      <c r="F20" s="33" t="s">
        <v>367</v>
      </c>
      <c r="G20" s="41" t="s">
        <v>85</v>
      </c>
      <c r="H20" s="37">
        <v>485</v>
      </c>
      <c r="I20" s="37">
        <f>C20*H20</f>
        <v>970</v>
      </c>
    </row>
    <row r="21" spans="2:9" s="33" customFormat="1" ht="15">
      <c r="B21" s="34">
        <v>102</v>
      </c>
      <c r="C21" s="36">
        <f>$G$7</f>
        <v>2</v>
      </c>
      <c r="D21" s="35" t="s">
        <v>132</v>
      </c>
      <c r="E21" s="33" t="s">
        <v>88</v>
      </c>
      <c r="F21" s="33" t="s">
        <v>367</v>
      </c>
      <c r="G21" s="36" t="s">
        <v>89</v>
      </c>
      <c r="H21" s="37">
        <v>1800</v>
      </c>
      <c r="I21" s="37">
        <f>C21*H21</f>
        <v>3600</v>
      </c>
    </row>
    <row r="22" spans="3:10" ht="12.75">
      <c r="C22" s="10"/>
      <c r="D22" s="2"/>
      <c r="G22" s="10"/>
      <c r="H22" s="14"/>
      <c r="I22" s="14"/>
      <c r="J22" s="118">
        <f>SUM(I18:I21)</f>
        <v>23060</v>
      </c>
    </row>
    <row r="23" spans="2:9" ht="18">
      <c r="B23" s="20" t="s">
        <v>362</v>
      </c>
      <c r="C23" s="10"/>
      <c r="D23" s="2"/>
      <c r="G23" s="10"/>
      <c r="H23" s="14"/>
      <c r="I23" s="14"/>
    </row>
    <row r="24" spans="2:9" s="33" customFormat="1" ht="15">
      <c r="B24" s="34">
        <v>88</v>
      </c>
      <c r="C24" s="36">
        <f>$G$6</f>
        <v>1</v>
      </c>
      <c r="D24" s="39" t="s">
        <v>132</v>
      </c>
      <c r="E24" s="33" t="s">
        <v>70</v>
      </c>
      <c r="F24" s="33" t="s">
        <v>211</v>
      </c>
      <c r="G24" s="36" t="s">
        <v>71</v>
      </c>
      <c r="H24" s="37">
        <v>1439.99</v>
      </c>
      <c r="I24" s="37">
        <f>C24*H24</f>
        <v>1439.99</v>
      </c>
    </row>
    <row r="25" spans="2:9" s="33" customFormat="1" ht="15">
      <c r="B25" s="38">
        <v>99</v>
      </c>
      <c r="C25" s="36">
        <f>$G$6</f>
        <v>1</v>
      </c>
      <c r="D25" s="39" t="s">
        <v>132</v>
      </c>
      <c r="E25" s="33" t="s">
        <v>214</v>
      </c>
      <c r="F25" s="33" t="s">
        <v>367</v>
      </c>
      <c r="G25" s="36" t="s">
        <v>83</v>
      </c>
      <c r="H25" s="37">
        <v>2775</v>
      </c>
      <c r="I25" s="37">
        <f>C25*H25</f>
        <v>2775</v>
      </c>
    </row>
    <row r="26" spans="2:10" s="33" customFormat="1" ht="15">
      <c r="B26" s="34"/>
      <c r="C26" s="36"/>
      <c r="D26" s="35"/>
      <c r="F26" s="40"/>
      <c r="G26" s="36"/>
      <c r="H26" s="37"/>
      <c r="I26" s="37"/>
      <c r="J26" s="57">
        <f>SUM(I24:I25)</f>
        <v>4214.99</v>
      </c>
    </row>
    <row r="27" spans="2:9" ht="18">
      <c r="B27" s="20" t="s">
        <v>361</v>
      </c>
      <c r="C27" s="23"/>
      <c r="D27" s="9"/>
      <c r="E27" s="7"/>
      <c r="F27" s="7"/>
      <c r="G27" s="8"/>
      <c r="H27" s="13"/>
      <c r="I27" s="13"/>
    </row>
    <row r="28" spans="2:9" s="33" customFormat="1" ht="15" customHeight="1">
      <c r="B28" s="34">
        <v>14</v>
      </c>
      <c r="C28" s="36" t="str">
        <f>+IF($G$2&lt;=0,"0","2")</f>
        <v>2</v>
      </c>
      <c r="D28" s="33" t="s">
        <v>132</v>
      </c>
      <c r="E28" s="33" t="s">
        <v>321</v>
      </c>
      <c r="F28" s="33" t="s">
        <v>259</v>
      </c>
      <c r="G28" s="36" t="s">
        <v>322</v>
      </c>
      <c r="H28" s="37">
        <v>49.95</v>
      </c>
      <c r="I28" s="37">
        <f aca="true" t="shared" si="0" ref="I28:I56">C28*H28</f>
        <v>99.9</v>
      </c>
    </row>
    <row r="29" spans="2:9" s="33" customFormat="1" ht="15">
      <c r="B29" s="34">
        <v>15</v>
      </c>
      <c r="C29" s="36" t="str">
        <f>+IF($G$2&lt;=0,"0","1")</f>
        <v>1</v>
      </c>
      <c r="D29" s="33" t="s">
        <v>132</v>
      </c>
      <c r="E29" s="33" t="s">
        <v>200</v>
      </c>
      <c r="F29" s="40" t="s">
        <v>4</v>
      </c>
      <c r="G29" s="36" t="s">
        <v>5</v>
      </c>
      <c r="H29" s="37">
        <v>444.98</v>
      </c>
      <c r="I29" s="37">
        <f t="shared" si="0"/>
        <v>444.98</v>
      </c>
    </row>
    <row r="30" spans="2:9" s="33" customFormat="1" ht="15">
      <c r="B30" s="38">
        <v>29</v>
      </c>
      <c r="C30" s="36">
        <f>$G$7+$G$6+$G$2</f>
        <v>4</v>
      </c>
      <c r="D30" s="33" t="s">
        <v>132</v>
      </c>
      <c r="E30" s="33" t="s">
        <v>20</v>
      </c>
      <c r="F30" s="40" t="s">
        <v>21</v>
      </c>
      <c r="G30" s="36" t="s">
        <v>22</v>
      </c>
      <c r="H30" s="37">
        <v>31.95</v>
      </c>
      <c r="I30" s="37">
        <f t="shared" si="0"/>
        <v>127.8</v>
      </c>
    </row>
    <row r="31" spans="2:9" s="33" customFormat="1" ht="15">
      <c r="B31" s="34">
        <v>31</v>
      </c>
      <c r="C31" s="36" t="str">
        <f>+IF($G$2&lt;=0,"0","1")</f>
        <v>1</v>
      </c>
      <c r="D31" s="33" t="s">
        <v>132</v>
      </c>
      <c r="E31" s="39" t="s">
        <v>23</v>
      </c>
      <c r="F31" s="39" t="s">
        <v>24</v>
      </c>
      <c r="G31" s="36" t="s">
        <v>25</v>
      </c>
      <c r="H31" s="37">
        <v>1945</v>
      </c>
      <c r="I31" s="37">
        <f t="shared" si="0"/>
        <v>1945</v>
      </c>
    </row>
    <row r="32" spans="2:9" s="33" customFormat="1" ht="15">
      <c r="B32" s="34">
        <v>32</v>
      </c>
      <c r="C32" s="36" t="str">
        <f>+IF($G$2&lt;=0,"0","1")</f>
        <v>1</v>
      </c>
      <c r="D32" s="33" t="s">
        <v>132</v>
      </c>
      <c r="E32" s="39" t="s">
        <v>26</v>
      </c>
      <c r="F32" s="39" t="s">
        <v>24</v>
      </c>
      <c r="G32" s="36" t="s">
        <v>27</v>
      </c>
      <c r="H32" s="37">
        <v>45</v>
      </c>
      <c r="I32" s="37">
        <f t="shared" si="0"/>
        <v>45</v>
      </c>
    </row>
    <row r="33" spans="2:9" s="33" customFormat="1" ht="15">
      <c r="B33" s="38">
        <v>33</v>
      </c>
      <c r="C33" s="36">
        <f>$G$7</f>
        <v>2</v>
      </c>
      <c r="D33" s="33" t="s">
        <v>132</v>
      </c>
      <c r="E33" s="33" t="s">
        <v>28</v>
      </c>
      <c r="F33" s="33" t="s">
        <v>29</v>
      </c>
      <c r="G33" s="36" t="s">
        <v>30</v>
      </c>
      <c r="H33" s="42">
        <v>1300</v>
      </c>
      <c r="I33" s="37">
        <f t="shared" si="0"/>
        <v>2600</v>
      </c>
    </row>
    <row r="34" spans="2:9" s="33" customFormat="1" ht="15">
      <c r="B34" s="38">
        <v>37</v>
      </c>
      <c r="C34" s="36" t="str">
        <f aca="true" t="shared" si="1" ref="C34:C46">+IF($G$2&lt;=0,"0","1")</f>
        <v>1</v>
      </c>
      <c r="D34" s="33" t="s">
        <v>132</v>
      </c>
      <c r="E34" s="39" t="s">
        <v>36</v>
      </c>
      <c r="F34" s="35" t="s">
        <v>34</v>
      </c>
      <c r="G34" s="36" t="s">
        <v>37</v>
      </c>
      <c r="H34" s="42">
        <v>170</v>
      </c>
      <c r="I34" s="37">
        <f t="shared" si="0"/>
        <v>170</v>
      </c>
    </row>
    <row r="35" spans="2:9" s="33" customFormat="1" ht="15">
      <c r="B35" s="38">
        <v>90</v>
      </c>
      <c r="C35" s="36" t="str">
        <f t="shared" si="1"/>
        <v>1</v>
      </c>
      <c r="D35" s="33" t="s">
        <v>132</v>
      </c>
      <c r="E35" s="33" t="s">
        <v>380</v>
      </c>
      <c r="F35" s="33" t="s">
        <v>367</v>
      </c>
      <c r="G35" s="36" t="s">
        <v>76</v>
      </c>
      <c r="H35" s="42">
        <v>6000</v>
      </c>
      <c r="I35" s="37">
        <f t="shared" si="0"/>
        <v>6000</v>
      </c>
    </row>
    <row r="36" spans="2:9" s="33" customFormat="1" ht="15">
      <c r="B36" s="38">
        <v>91</v>
      </c>
      <c r="C36" s="36" t="str">
        <f t="shared" si="1"/>
        <v>1</v>
      </c>
      <c r="D36" s="33" t="s">
        <v>132</v>
      </c>
      <c r="E36" s="33" t="s">
        <v>381</v>
      </c>
      <c r="F36" s="33" t="s">
        <v>367</v>
      </c>
      <c r="G36" s="36" t="s">
        <v>82</v>
      </c>
      <c r="H36" s="42">
        <v>2000</v>
      </c>
      <c r="I36" s="37">
        <f t="shared" si="0"/>
        <v>2000</v>
      </c>
    </row>
    <row r="37" spans="2:9" s="33" customFormat="1" ht="15">
      <c r="B37" s="34">
        <v>92</v>
      </c>
      <c r="C37" s="36" t="str">
        <f t="shared" si="1"/>
        <v>1</v>
      </c>
      <c r="D37" s="33" t="s">
        <v>132</v>
      </c>
      <c r="E37" s="33" t="s">
        <v>375</v>
      </c>
      <c r="F37" s="33" t="s">
        <v>367</v>
      </c>
      <c r="G37" s="36" t="s">
        <v>80</v>
      </c>
      <c r="H37" s="42">
        <v>1495</v>
      </c>
      <c r="I37" s="37">
        <f t="shared" si="0"/>
        <v>1495</v>
      </c>
    </row>
    <row r="38" spans="2:9" s="33" customFormat="1" ht="15">
      <c r="B38" s="34">
        <v>93</v>
      </c>
      <c r="C38" s="36" t="str">
        <f t="shared" si="1"/>
        <v>1</v>
      </c>
      <c r="D38" s="33" t="s">
        <v>132</v>
      </c>
      <c r="E38" s="33" t="s">
        <v>376</v>
      </c>
      <c r="F38" s="33" t="s">
        <v>367</v>
      </c>
      <c r="G38" s="36" t="s">
        <v>81</v>
      </c>
      <c r="H38" s="42">
        <v>4995</v>
      </c>
      <c r="I38" s="37">
        <f t="shared" si="0"/>
        <v>4995</v>
      </c>
    </row>
    <row r="39" spans="2:9" s="33" customFormat="1" ht="15">
      <c r="B39" s="34">
        <v>94</v>
      </c>
      <c r="C39" s="36" t="str">
        <f t="shared" si="1"/>
        <v>1</v>
      </c>
      <c r="D39" s="33" t="s">
        <v>132</v>
      </c>
      <c r="E39" s="33" t="s">
        <v>377</v>
      </c>
      <c r="F39" s="33" t="s">
        <v>367</v>
      </c>
      <c r="G39" s="36" t="s">
        <v>78</v>
      </c>
      <c r="H39" s="42">
        <v>495</v>
      </c>
      <c r="I39" s="37">
        <f t="shared" si="0"/>
        <v>495</v>
      </c>
    </row>
    <row r="40" spans="2:9" s="33" customFormat="1" ht="15">
      <c r="B40" s="38">
        <v>95</v>
      </c>
      <c r="C40" s="36" t="str">
        <f t="shared" si="1"/>
        <v>1</v>
      </c>
      <c r="D40" s="33" t="s">
        <v>132</v>
      </c>
      <c r="E40" s="33" t="s">
        <v>378</v>
      </c>
      <c r="F40" s="33" t="s">
        <v>367</v>
      </c>
      <c r="G40" s="36" t="s">
        <v>212</v>
      </c>
      <c r="H40" s="42">
        <v>400</v>
      </c>
      <c r="I40" s="37">
        <f t="shared" si="0"/>
        <v>400</v>
      </c>
    </row>
    <row r="41" spans="2:9" s="33" customFormat="1" ht="15">
      <c r="B41" s="34">
        <v>111</v>
      </c>
      <c r="C41" s="36" t="str">
        <f t="shared" si="1"/>
        <v>1</v>
      </c>
      <c r="D41" s="33" t="s">
        <v>132</v>
      </c>
      <c r="E41" s="33" t="s">
        <v>379</v>
      </c>
      <c r="F41" s="33" t="s">
        <v>102</v>
      </c>
      <c r="G41" s="36" t="s">
        <v>103</v>
      </c>
      <c r="H41" s="42">
        <v>1570</v>
      </c>
      <c r="I41" s="37">
        <f t="shared" si="0"/>
        <v>1570</v>
      </c>
    </row>
    <row r="42" spans="2:9" s="33" customFormat="1" ht="15">
      <c r="B42" s="38">
        <v>112</v>
      </c>
      <c r="C42" s="36" t="str">
        <f t="shared" si="1"/>
        <v>1</v>
      </c>
      <c r="D42" s="33" t="s">
        <v>132</v>
      </c>
      <c r="E42" s="33" t="s">
        <v>104</v>
      </c>
      <c r="F42" s="33" t="s">
        <v>105</v>
      </c>
      <c r="G42" s="36" t="s">
        <v>106</v>
      </c>
      <c r="H42" s="37">
        <v>181</v>
      </c>
      <c r="I42" s="37">
        <f t="shared" si="0"/>
        <v>181</v>
      </c>
    </row>
    <row r="43" spans="2:9" s="33" customFormat="1" ht="15">
      <c r="B43" s="34">
        <v>113</v>
      </c>
      <c r="C43" s="36" t="str">
        <f t="shared" si="1"/>
        <v>1</v>
      </c>
      <c r="D43" s="33" t="s">
        <v>132</v>
      </c>
      <c r="E43" s="33" t="s">
        <v>107</v>
      </c>
      <c r="F43" s="33" t="s">
        <v>105</v>
      </c>
      <c r="G43" s="36" t="s">
        <v>108</v>
      </c>
      <c r="H43" s="37">
        <v>11</v>
      </c>
      <c r="I43" s="37">
        <f t="shared" si="0"/>
        <v>11</v>
      </c>
    </row>
    <row r="44" spans="2:9" s="33" customFormat="1" ht="15">
      <c r="B44" s="34">
        <v>114</v>
      </c>
      <c r="C44" s="36" t="str">
        <f t="shared" si="1"/>
        <v>1</v>
      </c>
      <c r="D44" s="33" t="s">
        <v>132</v>
      </c>
      <c r="E44" s="33" t="s">
        <v>109</v>
      </c>
      <c r="F44" s="33" t="s">
        <v>105</v>
      </c>
      <c r="G44" s="36" t="s">
        <v>110</v>
      </c>
      <c r="H44" s="37">
        <v>26</v>
      </c>
      <c r="I44" s="37">
        <f t="shared" si="0"/>
        <v>26</v>
      </c>
    </row>
    <row r="45" spans="2:9" s="33" customFormat="1" ht="15">
      <c r="B45" s="34">
        <v>115</v>
      </c>
      <c r="C45" s="36" t="str">
        <f t="shared" si="1"/>
        <v>1</v>
      </c>
      <c r="D45" s="33" t="s">
        <v>132</v>
      </c>
      <c r="E45" s="33" t="s">
        <v>111</v>
      </c>
      <c r="F45" s="33" t="s">
        <v>105</v>
      </c>
      <c r="G45" s="36" t="s">
        <v>112</v>
      </c>
      <c r="H45" s="37">
        <v>309</v>
      </c>
      <c r="I45" s="37">
        <f t="shared" si="0"/>
        <v>309</v>
      </c>
    </row>
    <row r="46" spans="2:9" s="33" customFormat="1" ht="15">
      <c r="B46" s="38">
        <v>116</v>
      </c>
      <c r="C46" s="36" t="str">
        <f t="shared" si="1"/>
        <v>1</v>
      </c>
      <c r="D46" s="33" t="s">
        <v>132</v>
      </c>
      <c r="E46" s="33" t="s">
        <v>113</v>
      </c>
      <c r="F46" s="33" t="s">
        <v>105</v>
      </c>
      <c r="G46" s="36" t="s">
        <v>114</v>
      </c>
      <c r="H46" s="37">
        <v>130</v>
      </c>
      <c r="I46" s="37">
        <f t="shared" si="0"/>
        <v>130</v>
      </c>
    </row>
    <row r="47" spans="2:9" s="33" customFormat="1" ht="15">
      <c r="B47" s="34">
        <v>117</v>
      </c>
      <c r="C47" s="36" t="str">
        <f>+IF($G$2&lt;=0,"0","3")</f>
        <v>3</v>
      </c>
      <c r="D47" s="33" t="s">
        <v>132</v>
      </c>
      <c r="E47" s="33" t="s">
        <v>115</v>
      </c>
      <c r="F47" s="33" t="s">
        <v>105</v>
      </c>
      <c r="G47" s="36" t="s">
        <v>116</v>
      </c>
      <c r="H47" s="37">
        <v>59</v>
      </c>
      <c r="I47" s="37">
        <f t="shared" si="0"/>
        <v>177</v>
      </c>
    </row>
    <row r="48" spans="2:9" s="33" customFormat="1" ht="15">
      <c r="B48" s="34">
        <v>118</v>
      </c>
      <c r="C48" s="36" t="str">
        <f>+IF($G$2&lt;=0,"0","1")</f>
        <v>1</v>
      </c>
      <c r="D48" s="33" t="s">
        <v>132</v>
      </c>
      <c r="E48" s="33" t="s">
        <v>117</v>
      </c>
      <c r="F48" s="33" t="s">
        <v>105</v>
      </c>
      <c r="G48" s="36" t="s">
        <v>118</v>
      </c>
      <c r="H48" s="37">
        <v>1176</v>
      </c>
      <c r="I48" s="37">
        <f t="shared" si="0"/>
        <v>1176</v>
      </c>
    </row>
    <row r="49" spans="2:9" s="33" customFormat="1" ht="15">
      <c r="B49" s="38">
        <v>125</v>
      </c>
      <c r="C49" s="36">
        <f>ROUNDUP(($G$3)/12,0)</f>
        <v>1</v>
      </c>
      <c r="D49" s="33" t="s">
        <v>132</v>
      </c>
      <c r="E49" s="33" t="s">
        <v>119</v>
      </c>
      <c r="F49" s="40" t="s">
        <v>120</v>
      </c>
      <c r="G49" s="36" t="s">
        <v>121</v>
      </c>
      <c r="H49" s="37">
        <v>497</v>
      </c>
      <c r="I49" s="37">
        <f t="shared" si="0"/>
        <v>497</v>
      </c>
    </row>
    <row r="50" spans="2:9" s="33" customFormat="1" ht="15">
      <c r="B50" s="34">
        <v>134</v>
      </c>
      <c r="C50" s="36">
        <f>$G$2*2</f>
        <v>2</v>
      </c>
      <c r="D50" s="33" t="s">
        <v>132</v>
      </c>
      <c r="E50" s="33" t="s">
        <v>129</v>
      </c>
      <c r="F50" s="40" t="s">
        <v>130</v>
      </c>
      <c r="G50" s="36" t="s">
        <v>131</v>
      </c>
      <c r="H50" s="37">
        <v>17.95</v>
      </c>
      <c r="I50" s="37">
        <f t="shared" si="0"/>
        <v>35.9</v>
      </c>
    </row>
    <row r="51" spans="2:9" s="33" customFormat="1" ht="15">
      <c r="B51" s="34">
        <v>138</v>
      </c>
      <c r="C51" s="36" t="str">
        <f>+IF($G$2&lt;=0,"0","1")</f>
        <v>1</v>
      </c>
      <c r="D51" s="33" t="s">
        <v>132</v>
      </c>
      <c r="E51" s="43" t="s">
        <v>133</v>
      </c>
      <c r="F51" s="33" t="s">
        <v>260</v>
      </c>
      <c r="G51" s="36" t="s">
        <v>134</v>
      </c>
      <c r="H51" s="37">
        <v>854</v>
      </c>
      <c r="I51" s="37">
        <f t="shared" si="0"/>
        <v>854</v>
      </c>
    </row>
    <row r="52" spans="2:9" s="33" customFormat="1" ht="15">
      <c r="B52" s="34">
        <v>140</v>
      </c>
      <c r="C52" s="36" t="str">
        <f>+IF($G$2&lt;=0,"0","1")</f>
        <v>1</v>
      </c>
      <c r="D52" s="33" t="s">
        <v>132</v>
      </c>
      <c r="E52" s="43" t="s">
        <v>137</v>
      </c>
      <c r="F52" s="33" t="s">
        <v>260</v>
      </c>
      <c r="G52" s="36" t="s">
        <v>216</v>
      </c>
      <c r="H52" s="37">
        <v>52</v>
      </c>
      <c r="I52" s="37">
        <f t="shared" si="0"/>
        <v>52</v>
      </c>
    </row>
    <row r="53" spans="2:9" s="33" customFormat="1" ht="15">
      <c r="B53" s="38">
        <v>142</v>
      </c>
      <c r="C53" s="36" t="str">
        <f>+IF($G$2&lt;=0,"0","1")</f>
        <v>1</v>
      </c>
      <c r="D53" s="33" t="s">
        <v>132</v>
      </c>
      <c r="E53" s="43" t="s">
        <v>217</v>
      </c>
      <c r="F53" s="33" t="s">
        <v>260</v>
      </c>
      <c r="G53" s="36" t="s">
        <v>136</v>
      </c>
      <c r="H53" s="37">
        <v>323</v>
      </c>
      <c r="I53" s="37">
        <f t="shared" si="0"/>
        <v>323</v>
      </c>
    </row>
    <row r="54" spans="2:9" s="33" customFormat="1" ht="15">
      <c r="B54" s="34">
        <v>183</v>
      </c>
      <c r="C54" s="44">
        <f>+IF($G$2&lt;=0,"0",30+ROUNDUP((20*$G$2),"0"))</f>
        <v>50</v>
      </c>
      <c r="D54" s="33" t="s">
        <v>132</v>
      </c>
      <c r="E54" s="33" t="s">
        <v>193</v>
      </c>
      <c r="F54" s="33" t="s">
        <v>374</v>
      </c>
      <c r="G54" s="36" t="s">
        <v>221</v>
      </c>
      <c r="H54" s="37">
        <v>0.63</v>
      </c>
      <c r="I54" s="37">
        <f t="shared" si="0"/>
        <v>31.5</v>
      </c>
    </row>
    <row r="55" spans="2:9" s="33" customFormat="1" ht="15">
      <c r="B55" s="38">
        <v>184</v>
      </c>
      <c r="C55" s="44">
        <f>ROUNDUP((20*$G$3),0)</f>
        <v>80</v>
      </c>
      <c r="D55" s="33" t="s">
        <v>132</v>
      </c>
      <c r="E55" s="33" t="s">
        <v>194</v>
      </c>
      <c r="F55" s="33" t="s">
        <v>374</v>
      </c>
      <c r="G55" s="36" t="s">
        <v>222</v>
      </c>
      <c r="H55" s="37">
        <v>2</v>
      </c>
      <c r="I55" s="37">
        <f t="shared" si="0"/>
        <v>160</v>
      </c>
    </row>
    <row r="56" spans="2:9" s="33" customFormat="1" ht="15">
      <c r="B56" s="34">
        <v>182</v>
      </c>
      <c r="C56" s="44">
        <f>ROUNDUP((20*$G$3),0)</f>
        <v>80</v>
      </c>
      <c r="D56" s="33" t="s">
        <v>132</v>
      </c>
      <c r="E56" s="33" t="s">
        <v>191</v>
      </c>
      <c r="F56" s="33" t="s">
        <v>374</v>
      </c>
      <c r="G56" s="36" t="s">
        <v>192</v>
      </c>
      <c r="H56" s="37">
        <v>1.9</v>
      </c>
      <c r="I56" s="37">
        <f t="shared" si="0"/>
        <v>152</v>
      </c>
    </row>
    <row r="57" spans="2:10" s="33" customFormat="1" ht="15">
      <c r="B57" s="34"/>
      <c r="C57" s="44"/>
      <c r="D57" s="35"/>
      <c r="G57" s="36"/>
      <c r="H57" s="37"/>
      <c r="I57" s="37"/>
      <c r="J57" s="57">
        <f>SUM(I28:I56)</f>
        <v>26503.08</v>
      </c>
    </row>
    <row r="58" ht="18">
      <c r="B58" s="20" t="s">
        <v>364</v>
      </c>
    </row>
    <row r="59" spans="2:9" s="33" customFormat="1" ht="15">
      <c r="B59" s="38">
        <v>1</v>
      </c>
      <c r="C59" s="44">
        <f aca="true" t="shared" si="2" ref="C59:C65">$G$2</f>
        <v>1</v>
      </c>
      <c r="D59" s="35" t="s">
        <v>132</v>
      </c>
      <c r="E59" s="45" t="s">
        <v>265</v>
      </c>
      <c r="F59" s="46" t="s">
        <v>258</v>
      </c>
      <c r="G59" s="47" t="s">
        <v>226</v>
      </c>
      <c r="H59" s="37">
        <v>31.34</v>
      </c>
      <c r="I59" s="37">
        <f aca="true" t="shared" si="3" ref="I59:I84">C59*H59</f>
        <v>31.34</v>
      </c>
    </row>
    <row r="60" spans="2:9" s="33" customFormat="1" ht="15">
      <c r="B60" s="34">
        <v>2</v>
      </c>
      <c r="C60" s="44">
        <f t="shared" si="2"/>
        <v>1</v>
      </c>
      <c r="D60" s="35" t="s">
        <v>132</v>
      </c>
      <c r="E60" s="45" t="s">
        <v>266</v>
      </c>
      <c r="F60" s="46" t="s">
        <v>258</v>
      </c>
      <c r="G60" s="48" t="s">
        <v>227</v>
      </c>
      <c r="H60" s="37">
        <v>77</v>
      </c>
      <c r="I60" s="37">
        <f t="shared" si="3"/>
        <v>77</v>
      </c>
    </row>
    <row r="61" spans="2:9" s="33" customFormat="1" ht="15">
      <c r="B61" s="34">
        <v>3</v>
      </c>
      <c r="C61" s="44">
        <f t="shared" si="2"/>
        <v>1</v>
      </c>
      <c r="D61" s="35" t="s">
        <v>132</v>
      </c>
      <c r="E61" s="45" t="s">
        <v>267</v>
      </c>
      <c r="F61" s="46" t="s">
        <v>258</v>
      </c>
      <c r="G61" s="48" t="s">
        <v>228</v>
      </c>
      <c r="H61" s="37">
        <v>165.17</v>
      </c>
      <c r="I61" s="37">
        <f t="shared" si="3"/>
        <v>165.17</v>
      </c>
    </row>
    <row r="62" spans="2:9" s="33" customFormat="1" ht="15">
      <c r="B62" s="34">
        <v>4</v>
      </c>
      <c r="C62" s="44">
        <f t="shared" si="2"/>
        <v>1</v>
      </c>
      <c r="D62" s="35" t="s">
        <v>132</v>
      </c>
      <c r="E62" s="45" t="s">
        <v>268</v>
      </c>
      <c r="F62" s="46" t="s">
        <v>258</v>
      </c>
      <c r="G62" s="48" t="s">
        <v>229</v>
      </c>
      <c r="H62" s="37">
        <v>103.33</v>
      </c>
      <c r="I62" s="37">
        <f t="shared" si="3"/>
        <v>103.33</v>
      </c>
    </row>
    <row r="63" spans="2:9" s="33" customFormat="1" ht="15">
      <c r="B63" s="38">
        <v>5</v>
      </c>
      <c r="C63" s="44">
        <f t="shared" si="2"/>
        <v>1</v>
      </c>
      <c r="D63" s="35" t="s">
        <v>132</v>
      </c>
      <c r="E63" s="45" t="s">
        <v>269</v>
      </c>
      <c r="F63" s="46" t="s">
        <v>258</v>
      </c>
      <c r="G63" s="47" t="s">
        <v>230</v>
      </c>
      <c r="H63" s="37">
        <v>446.37</v>
      </c>
      <c r="I63" s="37">
        <f t="shared" si="3"/>
        <v>446.37</v>
      </c>
    </row>
    <row r="64" spans="2:9" s="33" customFormat="1" ht="15">
      <c r="B64" s="34">
        <v>6</v>
      </c>
      <c r="C64" s="44">
        <f t="shared" si="2"/>
        <v>1</v>
      </c>
      <c r="D64" s="35" t="s">
        <v>132</v>
      </c>
      <c r="E64" s="45" t="s">
        <v>270</v>
      </c>
      <c r="F64" s="46" t="s">
        <v>258</v>
      </c>
      <c r="G64" s="48" t="s">
        <v>231</v>
      </c>
      <c r="H64" s="37">
        <v>293.06</v>
      </c>
      <c r="I64" s="37">
        <f t="shared" si="3"/>
        <v>293.06</v>
      </c>
    </row>
    <row r="65" spans="2:9" s="33" customFormat="1" ht="15">
      <c r="B65" s="34">
        <v>7</v>
      </c>
      <c r="C65" s="44">
        <f t="shared" si="2"/>
        <v>1</v>
      </c>
      <c r="D65" s="35" t="s">
        <v>132</v>
      </c>
      <c r="E65" s="45" t="s">
        <v>271</v>
      </c>
      <c r="F65" s="46" t="s">
        <v>258</v>
      </c>
      <c r="G65" s="48" t="s">
        <v>232</v>
      </c>
      <c r="H65" s="37">
        <v>24.29</v>
      </c>
      <c r="I65" s="37">
        <f t="shared" si="3"/>
        <v>24.29</v>
      </c>
    </row>
    <row r="66" spans="2:9" s="33" customFormat="1" ht="15">
      <c r="B66" s="34">
        <v>8</v>
      </c>
      <c r="C66" s="81">
        <f>3*$G$2</f>
        <v>3</v>
      </c>
      <c r="D66" s="35" t="s">
        <v>132</v>
      </c>
      <c r="E66" s="45" t="s">
        <v>272</v>
      </c>
      <c r="F66" s="46" t="s">
        <v>258</v>
      </c>
      <c r="G66" s="48" t="s">
        <v>233</v>
      </c>
      <c r="H66" s="37">
        <v>178.37</v>
      </c>
      <c r="I66" s="37">
        <f t="shared" si="3"/>
        <v>535.11</v>
      </c>
    </row>
    <row r="67" spans="2:9" s="33" customFormat="1" ht="15">
      <c r="B67" s="38">
        <v>9</v>
      </c>
      <c r="C67" s="81">
        <f>4*$G$2</f>
        <v>4</v>
      </c>
      <c r="D67" s="35" t="s">
        <v>132</v>
      </c>
      <c r="E67" s="45" t="s">
        <v>273</v>
      </c>
      <c r="F67" s="46" t="s">
        <v>258</v>
      </c>
      <c r="G67" s="48" t="s">
        <v>234</v>
      </c>
      <c r="H67" s="37">
        <v>234.53</v>
      </c>
      <c r="I67" s="37">
        <f t="shared" si="3"/>
        <v>938.12</v>
      </c>
    </row>
    <row r="68" spans="2:9" s="33" customFormat="1" ht="15">
      <c r="B68" s="34">
        <v>10</v>
      </c>
      <c r="C68" s="44">
        <f>$G$2*3</f>
        <v>3</v>
      </c>
      <c r="D68" s="35" t="s">
        <v>132</v>
      </c>
      <c r="E68" s="45" t="s">
        <v>274</v>
      </c>
      <c r="F68" s="46" t="s">
        <v>258</v>
      </c>
      <c r="G68" s="48" t="s">
        <v>235</v>
      </c>
      <c r="H68" s="37">
        <v>82.5</v>
      </c>
      <c r="I68" s="37">
        <f t="shared" si="3"/>
        <v>247.5</v>
      </c>
    </row>
    <row r="69" spans="2:9" s="33" customFormat="1" ht="15">
      <c r="B69" s="34">
        <v>11</v>
      </c>
      <c r="C69" s="44">
        <f>$G$2</f>
        <v>1</v>
      </c>
      <c r="D69" s="35" t="s">
        <v>132</v>
      </c>
      <c r="E69" s="49" t="s">
        <v>316</v>
      </c>
      <c r="F69" s="46" t="s">
        <v>258</v>
      </c>
      <c r="G69" s="48" t="s">
        <v>317</v>
      </c>
      <c r="H69" s="37">
        <v>5123.47</v>
      </c>
      <c r="I69" s="37">
        <f t="shared" si="3"/>
        <v>5123.47</v>
      </c>
    </row>
    <row r="70" spans="2:9" s="33" customFormat="1" ht="15">
      <c r="B70" s="34">
        <v>12</v>
      </c>
      <c r="C70" s="44">
        <f>$G$2</f>
        <v>1</v>
      </c>
      <c r="D70" s="35" t="s">
        <v>132</v>
      </c>
      <c r="E70" s="49" t="s">
        <v>350</v>
      </c>
      <c r="F70" s="46" t="s">
        <v>258</v>
      </c>
      <c r="G70" s="48" t="s">
        <v>329</v>
      </c>
      <c r="H70" s="37">
        <v>100.44</v>
      </c>
      <c r="I70" s="37">
        <f t="shared" si="3"/>
        <v>100.44</v>
      </c>
    </row>
    <row r="71" spans="2:9" s="33" customFormat="1" ht="15">
      <c r="B71" s="38">
        <v>13</v>
      </c>
      <c r="C71" s="44">
        <f>$G$2</f>
        <v>1</v>
      </c>
      <c r="D71" s="35" t="s">
        <v>132</v>
      </c>
      <c r="E71" s="45" t="s">
        <v>276</v>
      </c>
      <c r="F71" s="50" t="s">
        <v>259</v>
      </c>
      <c r="G71" s="51" t="s">
        <v>237</v>
      </c>
      <c r="H71" s="37">
        <v>350</v>
      </c>
      <c r="I71" s="37">
        <f t="shared" si="3"/>
        <v>350</v>
      </c>
    </row>
    <row r="72" spans="2:9" s="33" customFormat="1" ht="15">
      <c r="B72" s="34">
        <v>16</v>
      </c>
      <c r="C72" s="44">
        <f>$G$2</f>
        <v>1</v>
      </c>
      <c r="D72" s="35" t="s">
        <v>132</v>
      </c>
      <c r="E72" s="33" t="s">
        <v>201</v>
      </c>
      <c r="F72" s="33" t="s">
        <v>416</v>
      </c>
      <c r="G72" s="36" t="s">
        <v>202</v>
      </c>
      <c r="H72" s="52">
        <v>67.05</v>
      </c>
      <c r="I72" s="53">
        <f t="shared" si="3"/>
        <v>67.05</v>
      </c>
    </row>
    <row r="73" spans="2:9" s="33" customFormat="1" ht="15">
      <c r="B73" s="38">
        <v>17</v>
      </c>
      <c r="C73" s="44">
        <f>$G$2*3</f>
        <v>3</v>
      </c>
      <c r="D73" s="35" t="s">
        <v>132</v>
      </c>
      <c r="E73" s="33" t="s">
        <v>203</v>
      </c>
      <c r="F73" s="33" t="s">
        <v>416</v>
      </c>
      <c r="G73" s="36" t="s">
        <v>204</v>
      </c>
      <c r="H73" s="52">
        <v>17.95</v>
      </c>
      <c r="I73" s="53">
        <f t="shared" si="3"/>
        <v>53.849999999999994</v>
      </c>
    </row>
    <row r="74" spans="2:9" s="33" customFormat="1" ht="15">
      <c r="B74" s="34">
        <v>30</v>
      </c>
      <c r="C74" s="44">
        <f>$G$2</f>
        <v>1</v>
      </c>
      <c r="D74" s="35" t="s">
        <v>132</v>
      </c>
      <c r="E74" s="45" t="s">
        <v>275</v>
      </c>
      <c r="F74" s="50" t="s">
        <v>21</v>
      </c>
      <c r="G74" s="51" t="s">
        <v>236</v>
      </c>
      <c r="H74" s="37">
        <v>218.9</v>
      </c>
      <c r="I74" s="37">
        <f t="shared" si="3"/>
        <v>218.9</v>
      </c>
    </row>
    <row r="75" spans="2:9" s="33" customFormat="1" ht="15">
      <c r="B75" s="34">
        <v>35</v>
      </c>
      <c r="C75" s="44">
        <f>+IF($G$2&lt;=0,"0",1+$G$2)</f>
        <v>2</v>
      </c>
      <c r="D75" s="35" t="s">
        <v>132</v>
      </c>
      <c r="E75" s="33" t="s">
        <v>31</v>
      </c>
      <c r="F75" s="40" t="s">
        <v>209</v>
      </c>
      <c r="G75" s="36" t="s">
        <v>32</v>
      </c>
      <c r="H75" s="37">
        <v>715</v>
      </c>
      <c r="I75" s="37">
        <f t="shared" si="3"/>
        <v>1430</v>
      </c>
    </row>
    <row r="76" spans="2:9" s="33" customFormat="1" ht="15">
      <c r="B76" s="34">
        <v>36</v>
      </c>
      <c r="C76" s="44">
        <f>+IF($G$2&lt;=0,"0",3+3*$G$2)</f>
        <v>6</v>
      </c>
      <c r="D76" s="35" t="s">
        <v>132</v>
      </c>
      <c r="E76" s="39" t="s">
        <v>33</v>
      </c>
      <c r="F76" s="35" t="s">
        <v>34</v>
      </c>
      <c r="G76" s="36" t="s">
        <v>35</v>
      </c>
      <c r="H76" s="42">
        <v>25</v>
      </c>
      <c r="I76" s="37">
        <f t="shared" si="3"/>
        <v>150</v>
      </c>
    </row>
    <row r="77" spans="2:9" s="33" customFormat="1" ht="15">
      <c r="B77" s="34">
        <v>55</v>
      </c>
      <c r="C77" s="44">
        <f aca="true" t="shared" si="4" ref="C77:C85">$G$2</f>
        <v>1</v>
      </c>
      <c r="D77" s="35" t="s">
        <v>132</v>
      </c>
      <c r="E77" s="33" t="s">
        <v>223</v>
      </c>
      <c r="F77" s="33" t="s">
        <v>224</v>
      </c>
      <c r="G77" s="36" t="s">
        <v>225</v>
      </c>
      <c r="H77" s="37">
        <v>700</v>
      </c>
      <c r="I77" s="37">
        <f t="shared" si="3"/>
        <v>700</v>
      </c>
    </row>
    <row r="78" spans="2:10" s="33" customFormat="1" ht="15">
      <c r="B78" s="38">
        <v>57</v>
      </c>
      <c r="C78" s="44">
        <f t="shared" si="4"/>
        <v>1</v>
      </c>
      <c r="D78" s="35" t="s">
        <v>132</v>
      </c>
      <c r="E78" s="26" t="s">
        <v>344</v>
      </c>
      <c r="F78" s="26" t="s">
        <v>69</v>
      </c>
      <c r="G78" s="54" t="s">
        <v>323</v>
      </c>
      <c r="H78" s="55">
        <v>390.73</v>
      </c>
      <c r="I78" s="37">
        <f t="shared" si="3"/>
        <v>390.73</v>
      </c>
      <c r="J78" s="26"/>
    </row>
    <row r="79" spans="2:10" s="33" customFormat="1" ht="15">
      <c r="B79" s="34">
        <v>58</v>
      </c>
      <c r="C79" s="44">
        <f t="shared" si="4"/>
        <v>1</v>
      </c>
      <c r="D79" s="35" t="s">
        <v>132</v>
      </c>
      <c r="E79" s="26" t="s">
        <v>345</v>
      </c>
      <c r="F79" s="26" t="s">
        <v>69</v>
      </c>
      <c r="G79" s="54" t="s">
        <v>324</v>
      </c>
      <c r="H79" s="55">
        <v>199.89</v>
      </c>
      <c r="I79" s="37">
        <f t="shared" si="3"/>
        <v>199.89</v>
      </c>
      <c r="J79" s="26"/>
    </row>
    <row r="80" spans="2:10" s="33" customFormat="1" ht="15">
      <c r="B80" s="34">
        <v>59</v>
      </c>
      <c r="C80" s="44">
        <f t="shared" si="4"/>
        <v>1</v>
      </c>
      <c r="D80" s="35" t="s">
        <v>132</v>
      </c>
      <c r="E80" s="26" t="s">
        <v>346</v>
      </c>
      <c r="F80" s="26" t="s">
        <v>69</v>
      </c>
      <c r="G80" s="54" t="s">
        <v>325</v>
      </c>
      <c r="H80" s="55">
        <v>108.05</v>
      </c>
      <c r="I80" s="37">
        <f t="shared" si="3"/>
        <v>108.05</v>
      </c>
      <c r="J80" s="26"/>
    </row>
    <row r="81" spans="2:10" s="33" customFormat="1" ht="15">
      <c r="B81" s="34">
        <v>60</v>
      </c>
      <c r="C81" s="44">
        <f t="shared" si="4"/>
        <v>1</v>
      </c>
      <c r="D81" s="35" t="s">
        <v>132</v>
      </c>
      <c r="E81" s="26" t="s">
        <v>347</v>
      </c>
      <c r="F81" s="26" t="s">
        <v>69</v>
      </c>
      <c r="G81" s="54" t="s">
        <v>326</v>
      </c>
      <c r="H81" s="55">
        <v>42.47</v>
      </c>
      <c r="I81" s="37">
        <f t="shared" si="3"/>
        <v>42.47</v>
      </c>
      <c r="J81" s="26"/>
    </row>
    <row r="82" spans="2:10" s="33" customFormat="1" ht="15">
      <c r="B82" s="38">
        <v>61</v>
      </c>
      <c r="C82" s="44">
        <f t="shared" si="4"/>
        <v>1</v>
      </c>
      <c r="D82" s="35" t="s">
        <v>132</v>
      </c>
      <c r="E82" s="26" t="s">
        <v>348</v>
      </c>
      <c r="F82" s="26" t="s">
        <v>69</v>
      </c>
      <c r="G82" s="54" t="s">
        <v>327</v>
      </c>
      <c r="H82" s="55">
        <v>242.46</v>
      </c>
      <c r="I82" s="37">
        <f t="shared" si="3"/>
        <v>242.46</v>
      </c>
      <c r="J82" s="26"/>
    </row>
    <row r="83" spans="2:10" s="33" customFormat="1" ht="15">
      <c r="B83" s="34">
        <v>62</v>
      </c>
      <c r="C83" s="44">
        <f t="shared" si="4"/>
        <v>1</v>
      </c>
      <c r="D83" s="35" t="s">
        <v>132</v>
      </c>
      <c r="E83" s="26" t="s">
        <v>349</v>
      </c>
      <c r="F83" s="26" t="s">
        <v>69</v>
      </c>
      <c r="G83" s="54" t="s">
        <v>328</v>
      </c>
      <c r="H83" s="55">
        <v>201.19</v>
      </c>
      <c r="I83" s="37">
        <f t="shared" si="3"/>
        <v>201.19</v>
      </c>
      <c r="J83" s="26"/>
    </row>
    <row r="84" spans="2:10" s="33" customFormat="1" ht="15">
      <c r="B84" s="34">
        <v>63</v>
      </c>
      <c r="C84" s="44">
        <f t="shared" si="4"/>
        <v>1</v>
      </c>
      <c r="D84" s="35" t="s">
        <v>132</v>
      </c>
      <c r="E84" s="26" t="s">
        <v>351</v>
      </c>
      <c r="F84" s="26" t="s">
        <v>69</v>
      </c>
      <c r="G84" s="54" t="s">
        <v>330</v>
      </c>
      <c r="H84" s="55">
        <v>71.5</v>
      </c>
      <c r="I84" s="37">
        <f t="shared" si="3"/>
        <v>71.5</v>
      </c>
      <c r="J84" s="26"/>
    </row>
    <row r="85" spans="2:10" s="33" customFormat="1" ht="15">
      <c r="B85" s="34">
        <v>64</v>
      </c>
      <c r="C85" s="44">
        <f t="shared" si="4"/>
        <v>1</v>
      </c>
      <c r="D85" s="35" t="s">
        <v>132</v>
      </c>
      <c r="E85" s="26" t="s">
        <v>352</v>
      </c>
      <c r="F85" s="26" t="s">
        <v>69</v>
      </c>
      <c r="G85" s="54" t="s">
        <v>331</v>
      </c>
      <c r="H85" s="56" t="s">
        <v>358</v>
      </c>
      <c r="I85" s="37"/>
      <c r="J85" s="26"/>
    </row>
    <row r="86" spans="2:10" s="33" customFormat="1" ht="15">
      <c r="B86" s="38">
        <v>65</v>
      </c>
      <c r="C86" s="44">
        <f>$G$2*2</f>
        <v>2</v>
      </c>
      <c r="D86" s="35" t="s">
        <v>132</v>
      </c>
      <c r="E86" s="26" t="s">
        <v>299</v>
      </c>
      <c r="F86" s="26" t="s">
        <v>69</v>
      </c>
      <c r="G86" s="54" t="s">
        <v>332</v>
      </c>
      <c r="H86" s="56" t="s">
        <v>358</v>
      </c>
      <c r="I86" s="37"/>
      <c r="J86" s="26"/>
    </row>
    <row r="87" spans="2:10" s="33" customFormat="1" ht="15">
      <c r="B87" s="34">
        <v>66</v>
      </c>
      <c r="C87" s="44">
        <f>$G$2</f>
        <v>1</v>
      </c>
      <c r="D87" s="35" t="s">
        <v>132</v>
      </c>
      <c r="E87" s="26" t="s">
        <v>300</v>
      </c>
      <c r="F87" s="26" t="s">
        <v>69</v>
      </c>
      <c r="G87" s="54" t="s">
        <v>333</v>
      </c>
      <c r="H87" s="56" t="s">
        <v>358</v>
      </c>
      <c r="I87" s="37"/>
      <c r="J87" s="26"/>
    </row>
    <row r="88" spans="2:10" s="33" customFormat="1" ht="15">
      <c r="B88" s="34">
        <v>67</v>
      </c>
      <c r="C88" s="44">
        <f>$G$2</f>
        <v>1</v>
      </c>
      <c r="D88" s="35" t="s">
        <v>132</v>
      </c>
      <c r="E88" s="26" t="s">
        <v>301</v>
      </c>
      <c r="F88" s="26" t="s">
        <v>69</v>
      </c>
      <c r="G88" s="54" t="s">
        <v>249</v>
      </c>
      <c r="H88" s="56" t="s">
        <v>358</v>
      </c>
      <c r="I88" s="37"/>
      <c r="J88" s="26"/>
    </row>
    <row r="89" spans="2:10" s="33" customFormat="1" ht="15">
      <c r="B89" s="34">
        <v>68</v>
      </c>
      <c r="C89" s="44">
        <f>$G$2</f>
        <v>1</v>
      </c>
      <c r="D89" s="35" t="s">
        <v>132</v>
      </c>
      <c r="E89" s="26" t="s">
        <v>302</v>
      </c>
      <c r="F89" s="26" t="s">
        <v>69</v>
      </c>
      <c r="G89" s="54" t="s">
        <v>250</v>
      </c>
      <c r="H89" s="56" t="s">
        <v>358</v>
      </c>
      <c r="I89" s="37"/>
      <c r="J89" s="26"/>
    </row>
    <row r="90" spans="2:10" s="33" customFormat="1" ht="15">
      <c r="B90" s="38">
        <v>69</v>
      </c>
      <c r="C90" s="44">
        <f>$G$2*2</f>
        <v>2</v>
      </c>
      <c r="D90" s="35" t="s">
        <v>132</v>
      </c>
      <c r="E90" s="26" t="s">
        <v>303</v>
      </c>
      <c r="F90" s="26" t="s">
        <v>69</v>
      </c>
      <c r="G90" s="54" t="s">
        <v>251</v>
      </c>
      <c r="H90" s="56" t="s">
        <v>358</v>
      </c>
      <c r="I90" s="37"/>
      <c r="J90" s="26"/>
    </row>
    <row r="91" spans="2:10" s="33" customFormat="1" ht="15">
      <c r="B91" s="34">
        <v>70</v>
      </c>
      <c r="C91" s="44">
        <f>$G$2*2</f>
        <v>2</v>
      </c>
      <c r="D91" s="35" t="s">
        <v>132</v>
      </c>
      <c r="E91" s="26" t="s">
        <v>304</v>
      </c>
      <c r="F91" s="26" t="s">
        <v>69</v>
      </c>
      <c r="G91" s="54" t="s">
        <v>252</v>
      </c>
      <c r="H91" s="56" t="s">
        <v>358</v>
      </c>
      <c r="I91" s="37"/>
      <c r="J91" s="26"/>
    </row>
    <row r="92" spans="2:10" s="33" customFormat="1" ht="15">
      <c r="B92" s="34">
        <v>71</v>
      </c>
      <c r="C92" s="44">
        <f>$G$2</f>
        <v>1</v>
      </c>
      <c r="D92" s="35" t="s">
        <v>132</v>
      </c>
      <c r="E92" s="26" t="s">
        <v>305</v>
      </c>
      <c r="F92" s="26" t="s">
        <v>69</v>
      </c>
      <c r="G92" s="54" t="s">
        <v>334</v>
      </c>
      <c r="H92" s="56" t="s">
        <v>358</v>
      </c>
      <c r="I92" s="37"/>
      <c r="J92" s="26"/>
    </row>
    <row r="93" spans="2:10" s="33" customFormat="1" ht="15">
      <c r="B93" s="34">
        <v>72</v>
      </c>
      <c r="C93" s="44">
        <f>$G$2*2</f>
        <v>2</v>
      </c>
      <c r="D93" s="35" t="s">
        <v>132</v>
      </c>
      <c r="E93" s="26" t="s">
        <v>353</v>
      </c>
      <c r="F93" s="26" t="s">
        <v>69</v>
      </c>
      <c r="G93" s="54" t="s">
        <v>335</v>
      </c>
      <c r="H93" s="56" t="s">
        <v>358</v>
      </c>
      <c r="I93" s="37"/>
      <c r="J93" s="26"/>
    </row>
    <row r="94" spans="2:10" s="33" customFormat="1" ht="15">
      <c r="B94" s="38">
        <v>73</v>
      </c>
      <c r="C94" s="44">
        <f>$G$2</f>
        <v>1</v>
      </c>
      <c r="D94" s="35" t="s">
        <v>132</v>
      </c>
      <c r="E94" s="26" t="s">
        <v>299</v>
      </c>
      <c r="F94" s="26" t="s">
        <v>69</v>
      </c>
      <c r="G94" s="54" t="s">
        <v>336</v>
      </c>
      <c r="H94" s="56" t="s">
        <v>358</v>
      </c>
      <c r="I94" s="37"/>
      <c r="J94" s="26"/>
    </row>
    <row r="95" spans="2:10" s="33" customFormat="1" ht="15">
      <c r="B95" s="38">
        <v>74</v>
      </c>
      <c r="C95" s="44">
        <f>$G$2</f>
        <v>1</v>
      </c>
      <c r="D95" s="35" t="s">
        <v>132</v>
      </c>
      <c r="E95" s="26" t="s">
        <v>354</v>
      </c>
      <c r="F95" s="26" t="s">
        <v>69</v>
      </c>
      <c r="G95" s="54" t="s">
        <v>333</v>
      </c>
      <c r="H95" s="56" t="s">
        <v>358</v>
      </c>
      <c r="I95" s="37"/>
      <c r="J95" s="26"/>
    </row>
    <row r="96" spans="2:10" s="33" customFormat="1" ht="15">
      <c r="B96" s="34">
        <v>75</v>
      </c>
      <c r="C96" s="44">
        <f>$G$2</f>
        <v>1</v>
      </c>
      <c r="D96" s="35" t="s">
        <v>132</v>
      </c>
      <c r="E96" s="26" t="s">
        <v>301</v>
      </c>
      <c r="F96" s="26" t="s">
        <v>69</v>
      </c>
      <c r="G96" s="54" t="s">
        <v>337</v>
      </c>
      <c r="H96" s="56" t="s">
        <v>358</v>
      </c>
      <c r="I96" s="37"/>
      <c r="J96" s="26"/>
    </row>
    <row r="97" spans="2:10" s="33" customFormat="1" ht="15">
      <c r="B97" s="34">
        <v>76</v>
      </c>
      <c r="C97" s="44">
        <f>$G$2</f>
        <v>1</v>
      </c>
      <c r="D97" s="35" t="s">
        <v>132</v>
      </c>
      <c r="E97" s="26" t="s">
        <v>302</v>
      </c>
      <c r="F97" s="26" t="s">
        <v>69</v>
      </c>
      <c r="G97" s="54" t="s">
        <v>338</v>
      </c>
      <c r="H97" s="56" t="s">
        <v>358</v>
      </c>
      <c r="I97" s="37"/>
      <c r="J97" s="26"/>
    </row>
    <row r="98" spans="2:10" s="33" customFormat="1" ht="15">
      <c r="B98" s="34">
        <v>77</v>
      </c>
      <c r="C98" s="44">
        <f>$G$2</f>
        <v>1</v>
      </c>
      <c r="D98" s="35" t="s">
        <v>132</v>
      </c>
      <c r="E98" s="26" t="s">
        <v>303</v>
      </c>
      <c r="F98" s="26" t="s">
        <v>69</v>
      </c>
      <c r="G98" s="54" t="s">
        <v>339</v>
      </c>
      <c r="H98" s="56" t="s">
        <v>358</v>
      </c>
      <c r="I98" s="37"/>
      <c r="J98" s="26"/>
    </row>
    <row r="99" spans="2:10" s="33" customFormat="1" ht="15">
      <c r="B99" s="38">
        <v>78</v>
      </c>
      <c r="C99" s="44">
        <f>$G$2*2</f>
        <v>2</v>
      </c>
      <c r="D99" s="35" t="s">
        <v>132</v>
      </c>
      <c r="E99" s="26" t="s">
        <v>304</v>
      </c>
      <c r="F99" s="26" t="s">
        <v>69</v>
      </c>
      <c r="G99" s="54" t="s">
        <v>252</v>
      </c>
      <c r="H99" s="56" t="s">
        <v>358</v>
      </c>
      <c r="I99" s="37"/>
      <c r="J99" s="26"/>
    </row>
    <row r="100" spans="2:10" s="33" customFormat="1" ht="15">
      <c r="B100" s="34">
        <v>79</v>
      </c>
      <c r="C100" s="44">
        <f>$G$2*2</f>
        <v>2</v>
      </c>
      <c r="D100" s="35" t="s">
        <v>132</v>
      </c>
      <c r="E100" s="26" t="s">
        <v>306</v>
      </c>
      <c r="F100" s="26" t="s">
        <v>69</v>
      </c>
      <c r="G100" s="54" t="s">
        <v>340</v>
      </c>
      <c r="H100" s="56" t="s">
        <v>358</v>
      </c>
      <c r="I100" s="37"/>
      <c r="J100" s="26"/>
    </row>
    <row r="101" spans="2:10" s="33" customFormat="1" ht="15">
      <c r="B101" s="34">
        <v>80</v>
      </c>
      <c r="C101" s="44">
        <f>$G$2*2</f>
        <v>2</v>
      </c>
      <c r="D101" s="35" t="s">
        <v>132</v>
      </c>
      <c r="E101" s="26" t="s">
        <v>307</v>
      </c>
      <c r="F101" s="26" t="s">
        <v>69</v>
      </c>
      <c r="G101" s="54" t="s">
        <v>341</v>
      </c>
      <c r="H101" s="56" t="s">
        <v>358</v>
      </c>
      <c r="I101" s="37"/>
      <c r="J101" s="26"/>
    </row>
    <row r="102" spans="2:10" s="33" customFormat="1" ht="15">
      <c r="B102" s="34">
        <v>81</v>
      </c>
      <c r="C102" s="44">
        <f>$G$2</f>
        <v>1</v>
      </c>
      <c r="D102" s="35" t="s">
        <v>132</v>
      </c>
      <c r="E102" s="26" t="s">
        <v>355</v>
      </c>
      <c r="F102" s="26" t="s">
        <v>69</v>
      </c>
      <c r="G102" s="54" t="s">
        <v>342</v>
      </c>
      <c r="H102" s="55">
        <v>8789</v>
      </c>
      <c r="I102" s="37">
        <f aca="true" t="shared" si="5" ref="I102:I108">C102*H102</f>
        <v>8789</v>
      </c>
      <c r="J102" s="26"/>
    </row>
    <row r="103" spans="2:10" s="33" customFormat="1" ht="15">
      <c r="B103" s="38">
        <v>82</v>
      </c>
      <c r="C103" s="44">
        <f>$G$2*2</f>
        <v>2</v>
      </c>
      <c r="D103" s="35" t="s">
        <v>132</v>
      </c>
      <c r="E103" s="26" t="s">
        <v>308</v>
      </c>
      <c r="F103" s="26" t="s">
        <v>69</v>
      </c>
      <c r="G103" s="54" t="s">
        <v>253</v>
      </c>
      <c r="H103" s="55">
        <v>165.022</v>
      </c>
      <c r="I103" s="37">
        <f t="shared" si="5"/>
        <v>330.044</v>
      </c>
      <c r="J103" s="26"/>
    </row>
    <row r="104" spans="2:10" s="33" customFormat="1" ht="15">
      <c r="B104" s="34">
        <v>83</v>
      </c>
      <c r="C104" s="44">
        <f>$G$2*2</f>
        <v>2</v>
      </c>
      <c r="D104" s="35" t="s">
        <v>132</v>
      </c>
      <c r="E104" s="26" t="s">
        <v>309</v>
      </c>
      <c r="F104" s="26" t="s">
        <v>69</v>
      </c>
      <c r="G104" s="54" t="s">
        <v>254</v>
      </c>
      <c r="H104" s="55">
        <v>203.896</v>
      </c>
      <c r="I104" s="37">
        <f t="shared" si="5"/>
        <v>407.792</v>
      </c>
      <c r="J104" s="26"/>
    </row>
    <row r="105" spans="2:10" s="33" customFormat="1" ht="15">
      <c r="B105" s="34">
        <v>84</v>
      </c>
      <c r="C105" s="44">
        <f>$G$2*2</f>
        <v>2</v>
      </c>
      <c r="D105" s="35" t="s">
        <v>132</v>
      </c>
      <c r="E105" s="26" t="s">
        <v>356</v>
      </c>
      <c r="F105" s="26" t="s">
        <v>69</v>
      </c>
      <c r="G105" s="54" t="s">
        <v>255</v>
      </c>
      <c r="H105" s="55">
        <v>37.356</v>
      </c>
      <c r="I105" s="37">
        <f t="shared" si="5"/>
        <v>74.712</v>
      </c>
      <c r="J105" s="26"/>
    </row>
    <row r="106" spans="2:10" s="33" customFormat="1" ht="15">
      <c r="B106" s="34">
        <v>85</v>
      </c>
      <c r="C106" s="44">
        <f>$G$2</f>
        <v>1</v>
      </c>
      <c r="D106" s="35" t="s">
        <v>132</v>
      </c>
      <c r="E106" s="26" t="s">
        <v>310</v>
      </c>
      <c r="F106" s="26" t="s">
        <v>69</v>
      </c>
      <c r="G106" s="54" t="s">
        <v>256</v>
      </c>
      <c r="H106" s="55">
        <v>256.872</v>
      </c>
      <c r="I106" s="37">
        <f t="shared" si="5"/>
        <v>256.872</v>
      </c>
      <c r="J106" s="26"/>
    </row>
    <row r="107" spans="2:10" s="33" customFormat="1" ht="15">
      <c r="B107" s="38">
        <v>86</v>
      </c>
      <c r="C107" s="44">
        <f>$G$2*2</f>
        <v>2</v>
      </c>
      <c r="D107" s="35" t="s">
        <v>132</v>
      </c>
      <c r="E107" s="26" t="s">
        <v>357</v>
      </c>
      <c r="F107" s="26" t="s">
        <v>69</v>
      </c>
      <c r="G107" s="54" t="s">
        <v>343</v>
      </c>
      <c r="H107" s="55">
        <v>130.218</v>
      </c>
      <c r="I107" s="37">
        <f t="shared" si="5"/>
        <v>260.436</v>
      </c>
      <c r="J107" s="26"/>
    </row>
    <row r="108" spans="2:10" s="33" customFormat="1" ht="15">
      <c r="B108" s="34">
        <v>87</v>
      </c>
      <c r="C108" s="44">
        <f>$G$2</f>
        <v>1</v>
      </c>
      <c r="D108" s="35" t="s">
        <v>132</v>
      </c>
      <c r="E108" s="26" t="s">
        <v>311</v>
      </c>
      <c r="F108" s="26" t="s">
        <v>69</v>
      </c>
      <c r="G108" s="54" t="s">
        <v>257</v>
      </c>
      <c r="H108" s="55">
        <v>3828</v>
      </c>
      <c r="I108" s="37">
        <f t="shared" si="5"/>
        <v>3828</v>
      </c>
      <c r="J108" s="26"/>
    </row>
    <row r="109" spans="2:9" s="33" customFormat="1" ht="15">
      <c r="B109" s="34">
        <v>96</v>
      </c>
      <c r="C109" s="36">
        <f>$G$2</f>
        <v>1</v>
      </c>
      <c r="D109" s="35" t="s">
        <v>132</v>
      </c>
      <c r="E109" s="33" t="s">
        <v>368</v>
      </c>
      <c r="F109" s="33" t="s">
        <v>367</v>
      </c>
      <c r="G109" s="36" t="s">
        <v>79</v>
      </c>
      <c r="H109" s="42">
        <v>695</v>
      </c>
      <c r="I109" s="37">
        <f aca="true" t="shared" si="6" ref="I109:I118">C109*H109</f>
        <v>695</v>
      </c>
    </row>
    <row r="110" spans="2:9" s="33" customFormat="1" ht="15">
      <c r="B110" s="38">
        <v>99</v>
      </c>
      <c r="C110" s="36">
        <f>$G$2</f>
        <v>1</v>
      </c>
      <c r="D110" s="35" t="s">
        <v>132</v>
      </c>
      <c r="E110" s="33" t="s">
        <v>369</v>
      </c>
      <c r="F110" s="33" t="s">
        <v>367</v>
      </c>
      <c r="G110" s="36" t="s">
        <v>83</v>
      </c>
      <c r="H110" s="37">
        <v>2775</v>
      </c>
      <c r="I110" s="37">
        <f t="shared" si="6"/>
        <v>2775</v>
      </c>
    </row>
    <row r="111" spans="2:9" s="33" customFormat="1" ht="15">
      <c r="B111" s="38">
        <v>103</v>
      </c>
      <c r="C111" s="44">
        <f>+IF($G$2&lt;=0,"0",2+$G$2)</f>
        <v>3</v>
      </c>
      <c r="D111" s="35" t="s">
        <v>132</v>
      </c>
      <c r="E111" s="33" t="s">
        <v>90</v>
      </c>
      <c r="F111" s="33" t="s">
        <v>367</v>
      </c>
      <c r="G111" s="36" t="s">
        <v>91</v>
      </c>
      <c r="H111" s="37">
        <v>1300</v>
      </c>
      <c r="I111" s="37">
        <f t="shared" si="6"/>
        <v>3900</v>
      </c>
    </row>
    <row r="112" spans="2:9" s="33" customFormat="1" ht="15">
      <c r="B112" s="34">
        <v>104</v>
      </c>
      <c r="C112" s="44">
        <f>+IF($G$2&lt;=0,"0",1+$G$2)</f>
        <v>2</v>
      </c>
      <c r="D112" s="35" t="s">
        <v>132</v>
      </c>
      <c r="E112" s="33" t="s">
        <v>92</v>
      </c>
      <c r="F112" s="33" t="s">
        <v>367</v>
      </c>
      <c r="G112" s="36" t="s">
        <v>93</v>
      </c>
      <c r="H112" s="37">
        <v>405</v>
      </c>
      <c r="I112" s="37">
        <f t="shared" si="6"/>
        <v>810</v>
      </c>
    </row>
    <row r="113" spans="2:9" s="33" customFormat="1" ht="15">
      <c r="B113" s="34">
        <v>105</v>
      </c>
      <c r="C113" s="44">
        <f>+IF($G$2&lt;=0,"0",1+$G$2)</f>
        <v>2</v>
      </c>
      <c r="D113" s="35" t="s">
        <v>132</v>
      </c>
      <c r="E113" s="33" t="s">
        <v>94</v>
      </c>
      <c r="F113" s="33" t="s">
        <v>367</v>
      </c>
      <c r="G113" s="36" t="s">
        <v>95</v>
      </c>
      <c r="H113" s="37">
        <v>405</v>
      </c>
      <c r="I113" s="37">
        <f t="shared" si="6"/>
        <v>810</v>
      </c>
    </row>
    <row r="114" spans="2:9" s="33" customFormat="1" ht="15">
      <c r="B114" s="34">
        <v>106</v>
      </c>
      <c r="C114" s="44">
        <f>+IF($G$2&lt;=0,"0",1+$G$2*2)</f>
        <v>3</v>
      </c>
      <c r="D114" s="35" t="s">
        <v>132</v>
      </c>
      <c r="E114" s="33" t="s">
        <v>96</v>
      </c>
      <c r="F114" s="33" t="s">
        <v>367</v>
      </c>
      <c r="G114" s="36" t="s">
        <v>97</v>
      </c>
      <c r="H114" s="37">
        <v>500</v>
      </c>
      <c r="I114" s="37">
        <f t="shared" si="6"/>
        <v>1500</v>
      </c>
    </row>
    <row r="115" spans="2:9" s="33" customFormat="1" ht="15">
      <c r="B115" s="38">
        <v>107</v>
      </c>
      <c r="C115" s="44">
        <f>+IF($G$2&lt;=0,"0",2+$G$2)</f>
        <v>3</v>
      </c>
      <c r="D115" s="35" t="s">
        <v>132</v>
      </c>
      <c r="E115" s="33" t="s">
        <v>98</v>
      </c>
      <c r="F115" s="33" t="s">
        <v>367</v>
      </c>
      <c r="G115" s="36" t="s">
        <v>99</v>
      </c>
      <c r="H115" s="37">
        <v>350</v>
      </c>
      <c r="I115" s="37">
        <f t="shared" si="6"/>
        <v>1050</v>
      </c>
    </row>
    <row r="116" spans="2:9" s="33" customFormat="1" ht="15">
      <c r="B116" s="38">
        <v>108</v>
      </c>
      <c r="C116" s="44">
        <f>+IF($G$2&lt;=0,"0",2+$G$2)</f>
        <v>3</v>
      </c>
      <c r="D116" s="35" t="s">
        <v>132</v>
      </c>
      <c r="E116" s="33" t="s">
        <v>100</v>
      </c>
      <c r="F116" s="33" t="s">
        <v>367</v>
      </c>
      <c r="G116" s="36" t="s">
        <v>101</v>
      </c>
      <c r="H116" s="37">
        <v>125</v>
      </c>
      <c r="I116" s="37">
        <f t="shared" si="6"/>
        <v>375</v>
      </c>
    </row>
    <row r="117" spans="2:9" s="33" customFormat="1" ht="15">
      <c r="B117" s="34">
        <v>109</v>
      </c>
      <c r="C117" s="44">
        <f>$G$2*15</f>
        <v>15</v>
      </c>
      <c r="D117" s="35" t="s">
        <v>132</v>
      </c>
      <c r="E117" s="45" t="s">
        <v>282</v>
      </c>
      <c r="F117" s="50" t="s">
        <v>262</v>
      </c>
      <c r="G117" s="51" t="s">
        <v>241</v>
      </c>
      <c r="H117" s="37">
        <v>2.5</v>
      </c>
      <c r="I117" s="37">
        <f t="shared" si="6"/>
        <v>37.5</v>
      </c>
    </row>
    <row r="118" spans="2:9" s="33" customFormat="1" ht="15">
      <c r="B118" s="34">
        <v>110</v>
      </c>
      <c r="C118" s="44">
        <f>$G$2*5</f>
        <v>5</v>
      </c>
      <c r="D118" s="35" t="s">
        <v>132</v>
      </c>
      <c r="E118" s="45" t="s">
        <v>283</v>
      </c>
      <c r="F118" s="50" t="s">
        <v>262</v>
      </c>
      <c r="G118" s="51" t="s">
        <v>242</v>
      </c>
      <c r="H118" s="37">
        <v>2.5</v>
      </c>
      <c r="I118" s="37">
        <f t="shared" si="6"/>
        <v>12.5</v>
      </c>
    </row>
    <row r="119" spans="2:9" s="33" customFormat="1" ht="15">
      <c r="B119" s="34">
        <v>119</v>
      </c>
      <c r="C119" s="44">
        <f>$G$2*18</f>
        <v>18</v>
      </c>
      <c r="D119" s="35" t="s">
        <v>132</v>
      </c>
      <c r="E119" s="45" t="s">
        <v>284</v>
      </c>
      <c r="F119" s="46" t="s">
        <v>263</v>
      </c>
      <c r="G119" s="47" t="s">
        <v>243</v>
      </c>
      <c r="H119" s="37">
        <v>6</v>
      </c>
      <c r="I119" s="37">
        <f aca="true" t="shared" si="7" ref="I119:I134">C119*H119</f>
        <v>108</v>
      </c>
    </row>
    <row r="120" spans="2:9" s="33" customFormat="1" ht="15">
      <c r="B120" s="38">
        <v>120</v>
      </c>
      <c r="C120" s="44">
        <f>$G$2*18</f>
        <v>18</v>
      </c>
      <c r="D120" s="35" t="s">
        <v>132</v>
      </c>
      <c r="E120" s="45" t="s">
        <v>285</v>
      </c>
      <c r="F120" s="46" t="s">
        <v>263</v>
      </c>
      <c r="G120" s="47" t="s">
        <v>244</v>
      </c>
      <c r="H120" s="37">
        <v>38</v>
      </c>
      <c r="I120" s="37">
        <f t="shared" si="7"/>
        <v>684</v>
      </c>
    </row>
    <row r="121" spans="2:9" s="33" customFormat="1" ht="15">
      <c r="B121" s="34">
        <v>121</v>
      </c>
      <c r="C121" s="44">
        <f>$G$2*24</f>
        <v>24</v>
      </c>
      <c r="D121" s="35" t="s">
        <v>132</v>
      </c>
      <c r="E121" s="45" t="s">
        <v>286</v>
      </c>
      <c r="F121" s="46" t="s">
        <v>263</v>
      </c>
      <c r="G121" s="47" t="s">
        <v>245</v>
      </c>
      <c r="H121" s="37">
        <v>9</v>
      </c>
      <c r="I121" s="37">
        <f t="shared" si="7"/>
        <v>216</v>
      </c>
    </row>
    <row r="122" spans="2:9" s="33" customFormat="1" ht="15">
      <c r="B122" s="34">
        <v>122</v>
      </c>
      <c r="C122" s="44">
        <f>$G$2*24</f>
        <v>24</v>
      </c>
      <c r="D122" s="35" t="s">
        <v>132</v>
      </c>
      <c r="E122" s="45" t="s">
        <v>287</v>
      </c>
      <c r="F122" s="46" t="s">
        <v>263</v>
      </c>
      <c r="G122" s="47" t="s">
        <v>246</v>
      </c>
      <c r="H122" s="37">
        <v>48</v>
      </c>
      <c r="I122" s="37">
        <f t="shared" si="7"/>
        <v>1152</v>
      </c>
    </row>
    <row r="123" spans="2:9" s="33" customFormat="1" ht="15">
      <c r="B123" s="34">
        <v>123</v>
      </c>
      <c r="C123" s="44">
        <f>$G$2*6</f>
        <v>6</v>
      </c>
      <c r="D123" s="35" t="s">
        <v>132</v>
      </c>
      <c r="E123" s="45" t="s">
        <v>288</v>
      </c>
      <c r="F123" s="46" t="s">
        <v>263</v>
      </c>
      <c r="G123" s="47" t="s">
        <v>247</v>
      </c>
      <c r="H123" s="37">
        <v>14</v>
      </c>
      <c r="I123" s="37">
        <f t="shared" si="7"/>
        <v>84</v>
      </c>
    </row>
    <row r="124" spans="2:9" s="33" customFormat="1" ht="15">
      <c r="B124" s="38">
        <v>124</v>
      </c>
      <c r="C124" s="44">
        <f>$G$2*6</f>
        <v>6</v>
      </c>
      <c r="D124" s="35" t="s">
        <v>132</v>
      </c>
      <c r="E124" s="45" t="s">
        <v>289</v>
      </c>
      <c r="F124" s="46" t="s">
        <v>263</v>
      </c>
      <c r="G124" s="47" t="s">
        <v>248</v>
      </c>
      <c r="H124" s="37">
        <v>46.32</v>
      </c>
      <c r="I124" s="37">
        <f t="shared" si="7"/>
        <v>277.92</v>
      </c>
    </row>
    <row r="125" spans="2:9" s="33" customFormat="1" ht="15">
      <c r="B125" s="38">
        <v>129</v>
      </c>
      <c r="C125" s="36">
        <f aca="true" t="shared" si="8" ref="C125:C131">$G$2</f>
        <v>1</v>
      </c>
      <c r="D125" s="35" t="s">
        <v>132</v>
      </c>
      <c r="E125" s="33" t="s">
        <v>215</v>
      </c>
      <c r="F125" s="40" t="s">
        <v>120</v>
      </c>
      <c r="G125" s="36" t="s">
        <v>128</v>
      </c>
      <c r="H125" s="37">
        <v>1389</v>
      </c>
      <c r="I125" s="37">
        <f t="shared" si="7"/>
        <v>1389</v>
      </c>
    </row>
    <row r="126" spans="2:9" s="33" customFormat="1" ht="15">
      <c r="B126" s="34">
        <v>130</v>
      </c>
      <c r="C126" s="44">
        <f t="shared" si="8"/>
        <v>1</v>
      </c>
      <c r="D126" s="35" t="s">
        <v>132</v>
      </c>
      <c r="E126" s="45" t="s">
        <v>149</v>
      </c>
      <c r="F126" s="50" t="s">
        <v>120</v>
      </c>
      <c r="G126" s="51" t="s">
        <v>313</v>
      </c>
      <c r="H126" s="37">
        <v>2889</v>
      </c>
      <c r="I126" s="37">
        <f t="shared" si="7"/>
        <v>2889</v>
      </c>
    </row>
    <row r="127" spans="2:9" s="33" customFormat="1" ht="15">
      <c r="B127" s="34">
        <v>131</v>
      </c>
      <c r="C127" s="44">
        <f t="shared" si="8"/>
        <v>1</v>
      </c>
      <c r="D127" s="35" t="s">
        <v>132</v>
      </c>
      <c r="E127" s="45" t="s">
        <v>277</v>
      </c>
      <c r="F127" s="50" t="s">
        <v>120</v>
      </c>
      <c r="G127" s="51" t="s">
        <v>121</v>
      </c>
      <c r="H127" s="37">
        <v>265</v>
      </c>
      <c r="I127" s="37">
        <f t="shared" si="7"/>
        <v>265</v>
      </c>
    </row>
    <row r="128" spans="2:9" s="33" customFormat="1" ht="15">
      <c r="B128" s="34">
        <v>132</v>
      </c>
      <c r="C128" s="44">
        <f t="shared" si="8"/>
        <v>1</v>
      </c>
      <c r="D128" s="35" t="s">
        <v>132</v>
      </c>
      <c r="E128" s="45" t="s">
        <v>280</v>
      </c>
      <c r="F128" s="50" t="s">
        <v>261</v>
      </c>
      <c r="G128" s="51" t="s">
        <v>239</v>
      </c>
      <c r="H128" s="37">
        <v>399.3</v>
      </c>
      <c r="I128" s="37">
        <f t="shared" si="7"/>
        <v>399.3</v>
      </c>
    </row>
    <row r="129" spans="2:9" s="33" customFormat="1" ht="15">
      <c r="B129" s="38">
        <v>133</v>
      </c>
      <c r="C129" s="44">
        <f t="shared" si="8"/>
        <v>1</v>
      </c>
      <c r="D129" s="35" t="s">
        <v>132</v>
      </c>
      <c r="E129" s="45" t="s">
        <v>281</v>
      </c>
      <c r="F129" s="50" t="s">
        <v>261</v>
      </c>
      <c r="G129" s="51" t="s">
        <v>240</v>
      </c>
      <c r="H129" s="37">
        <v>399.3</v>
      </c>
      <c r="I129" s="37">
        <f t="shared" si="7"/>
        <v>399.3</v>
      </c>
    </row>
    <row r="130" spans="2:10" s="33" customFormat="1" ht="15">
      <c r="B130" s="34">
        <v>135</v>
      </c>
      <c r="C130" s="44">
        <f t="shared" si="8"/>
        <v>1</v>
      </c>
      <c r="D130" s="35" t="s">
        <v>132</v>
      </c>
      <c r="E130" s="45" t="s">
        <v>278</v>
      </c>
      <c r="F130" s="50" t="s">
        <v>260</v>
      </c>
      <c r="G130" s="51" t="s">
        <v>312</v>
      </c>
      <c r="H130" s="37">
        <v>875</v>
      </c>
      <c r="I130" s="37">
        <f t="shared" si="7"/>
        <v>875</v>
      </c>
      <c r="J130" s="57"/>
    </row>
    <row r="131" spans="2:9" s="33" customFormat="1" ht="15">
      <c r="B131" s="38">
        <v>137</v>
      </c>
      <c r="C131" s="44">
        <f t="shared" si="8"/>
        <v>1</v>
      </c>
      <c r="D131" s="35" t="s">
        <v>132</v>
      </c>
      <c r="E131" s="45" t="s">
        <v>279</v>
      </c>
      <c r="F131" s="50" t="s">
        <v>260</v>
      </c>
      <c r="G131" s="51" t="s">
        <v>238</v>
      </c>
      <c r="H131" s="37">
        <v>105</v>
      </c>
      <c r="I131" s="37">
        <f t="shared" si="7"/>
        <v>105</v>
      </c>
    </row>
    <row r="132" spans="2:9" s="33" customFormat="1" ht="15">
      <c r="B132" s="34">
        <v>139</v>
      </c>
      <c r="C132" s="36">
        <f>$G$6+$G$7</f>
        <v>3</v>
      </c>
      <c r="D132" s="35" t="s">
        <v>132</v>
      </c>
      <c r="E132" s="43" t="s">
        <v>135</v>
      </c>
      <c r="F132" s="33" t="s">
        <v>260</v>
      </c>
      <c r="G132" s="36" t="s">
        <v>134</v>
      </c>
      <c r="H132" s="37">
        <v>854</v>
      </c>
      <c r="I132" s="37">
        <f t="shared" si="7"/>
        <v>2562</v>
      </c>
    </row>
    <row r="133" spans="2:9" s="33" customFormat="1" ht="15">
      <c r="B133" s="34">
        <v>145</v>
      </c>
      <c r="C133" s="36">
        <f>$G$2</f>
        <v>1</v>
      </c>
      <c r="D133" s="35" t="s">
        <v>132</v>
      </c>
      <c r="E133" s="33" t="s">
        <v>138</v>
      </c>
      <c r="F133" s="33" t="s">
        <v>370</v>
      </c>
      <c r="G133" s="36" t="s">
        <v>142</v>
      </c>
      <c r="H133" s="37">
        <v>98</v>
      </c>
      <c r="I133" s="37">
        <f t="shared" si="7"/>
        <v>98</v>
      </c>
    </row>
    <row r="134" spans="2:9" s="33" customFormat="1" ht="15">
      <c r="B134" s="38">
        <v>146</v>
      </c>
      <c r="C134" s="36">
        <f>$G$2</f>
        <v>1</v>
      </c>
      <c r="D134" s="35" t="s">
        <v>132</v>
      </c>
      <c r="E134" s="33" t="s">
        <v>143</v>
      </c>
      <c r="F134" s="33" t="s">
        <v>370</v>
      </c>
      <c r="G134" s="59" t="s">
        <v>144</v>
      </c>
      <c r="H134" s="37">
        <v>874.3</v>
      </c>
      <c r="I134" s="37">
        <f t="shared" si="7"/>
        <v>874.3</v>
      </c>
    </row>
    <row r="135" spans="2:9" s="33" customFormat="1" ht="15">
      <c r="B135" s="34">
        <v>148</v>
      </c>
      <c r="C135" s="36">
        <f>$G$2</f>
        <v>1</v>
      </c>
      <c r="D135" s="35" t="s">
        <v>132</v>
      </c>
      <c r="E135" s="33" t="s">
        <v>147</v>
      </c>
      <c r="F135" s="33" t="s">
        <v>370</v>
      </c>
      <c r="G135" s="36" t="s">
        <v>148</v>
      </c>
      <c r="H135" s="37">
        <v>276.5</v>
      </c>
      <c r="I135" s="37">
        <f aca="true" t="shared" si="9" ref="I135:I151">C135*H135</f>
        <v>276.5</v>
      </c>
    </row>
    <row r="136" spans="2:9" s="33" customFormat="1" ht="15">
      <c r="B136" s="38">
        <v>150</v>
      </c>
      <c r="C136" s="36">
        <f>ROUNDUP($G$2*1.5,0)</f>
        <v>2</v>
      </c>
      <c r="D136" s="35" t="s">
        <v>132</v>
      </c>
      <c r="E136" s="33" t="s">
        <v>151</v>
      </c>
      <c r="F136" s="33" t="s">
        <v>370</v>
      </c>
      <c r="G136" s="36" t="s">
        <v>152</v>
      </c>
      <c r="H136" s="37">
        <v>43.4</v>
      </c>
      <c r="I136" s="37">
        <f t="shared" si="9"/>
        <v>86.8</v>
      </c>
    </row>
    <row r="137" spans="2:9" s="33" customFormat="1" ht="15">
      <c r="B137" s="34">
        <v>153</v>
      </c>
      <c r="C137" s="36">
        <f aca="true" t="shared" si="10" ref="C137:C142">$G$2</f>
        <v>1</v>
      </c>
      <c r="D137" s="35" t="s">
        <v>132</v>
      </c>
      <c r="E137" s="33" t="s">
        <v>156</v>
      </c>
      <c r="F137" s="33" t="s">
        <v>370</v>
      </c>
      <c r="G137" s="36" t="s">
        <v>157</v>
      </c>
      <c r="H137" s="37">
        <v>1399.3</v>
      </c>
      <c r="I137" s="37">
        <f t="shared" si="9"/>
        <v>1399.3</v>
      </c>
    </row>
    <row r="138" spans="2:9" s="33" customFormat="1" ht="15">
      <c r="B138" s="34">
        <v>156</v>
      </c>
      <c r="C138" s="36">
        <f t="shared" si="10"/>
        <v>1</v>
      </c>
      <c r="D138" s="35" t="s">
        <v>132</v>
      </c>
      <c r="E138" s="33" t="s">
        <v>162</v>
      </c>
      <c r="F138" s="33" t="s">
        <v>370</v>
      </c>
      <c r="G138" s="36" t="s">
        <v>163</v>
      </c>
      <c r="H138" s="37">
        <v>209.3</v>
      </c>
      <c r="I138" s="37">
        <f t="shared" si="9"/>
        <v>209.3</v>
      </c>
    </row>
    <row r="139" spans="2:9" s="33" customFormat="1" ht="15">
      <c r="B139" s="38">
        <v>158</v>
      </c>
      <c r="C139" s="36">
        <f t="shared" si="10"/>
        <v>1</v>
      </c>
      <c r="D139" s="35" t="s">
        <v>132</v>
      </c>
      <c r="E139" s="33" t="s">
        <v>166</v>
      </c>
      <c r="F139" s="33" t="s">
        <v>370</v>
      </c>
      <c r="G139" s="36" t="s">
        <v>167</v>
      </c>
      <c r="H139" s="37">
        <v>45.5</v>
      </c>
      <c r="I139" s="37">
        <f t="shared" si="9"/>
        <v>45.5</v>
      </c>
    </row>
    <row r="140" spans="2:9" s="33" customFormat="1" ht="15">
      <c r="B140" s="34">
        <v>161</v>
      </c>
      <c r="C140" s="36">
        <f t="shared" si="10"/>
        <v>1</v>
      </c>
      <c r="D140" s="35" t="s">
        <v>132</v>
      </c>
      <c r="E140" s="33" t="s">
        <v>171</v>
      </c>
      <c r="F140" s="33" t="s">
        <v>370</v>
      </c>
      <c r="G140" s="36" t="s">
        <v>172</v>
      </c>
      <c r="H140" s="37">
        <v>26.6</v>
      </c>
      <c r="I140" s="37">
        <f t="shared" si="9"/>
        <v>26.6</v>
      </c>
    </row>
    <row r="141" spans="2:9" s="33" customFormat="1" ht="15">
      <c r="B141" s="38">
        <v>163</v>
      </c>
      <c r="C141" s="36">
        <f t="shared" si="10"/>
        <v>1</v>
      </c>
      <c r="D141" s="35" t="s">
        <v>132</v>
      </c>
      <c r="E141" s="33" t="s">
        <v>175</v>
      </c>
      <c r="F141" s="33" t="s">
        <v>370</v>
      </c>
      <c r="G141" s="59" t="s">
        <v>176</v>
      </c>
      <c r="H141" s="37">
        <v>129.5</v>
      </c>
      <c r="I141" s="37">
        <f t="shared" si="9"/>
        <v>129.5</v>
      </c>
    </row>
    <row r="142" spans="2:9" s="33" customFormat="1" ht="15">
      <c r="B142" s="34">
        <v>164</v>
      </c>
      <c r="C142" s="36">
        <f t="shared" si="10"/>
        <v>1</v>
      </c>
      <c r="D142" s="35" t="s">
        <v>132</v>
      </c>
      <c r="E142" s="33" t="s">
        <v>218</v>
      </c>
      <c r="F142" s="33" t="s">
        <v>370</v>
      </c>
      <c r="G142" s="59" t="s">
        <v>177</v>
      </c>
      <c r="H142" s="37">
        <v>23.8</v>
      </c>
      <c r="I142" s="37">
        <f t="shared" si="9"/>
        <v>23.8</v>
      </c>
    </row>
    <row r="143" spans="2:9" s="33" customFormat="1" ht="15">
      <c r="B143" s="34">
        <v>170</v>
      </c>
      <c r="C143" s="44">
        <f>$G$2*20</f>
        <v>20</v>
      </c>
      <c r="D143" s="35" t="s">
        <v>132</v>
      </c>
      <c r="E143" s="45" t="s">
        <v>290</v>
      </c>
      <c r="F143" s="46" t="s">
        <v>264</v>
      </c>
      <c r="G143" s="47">
        <v>101010</v>
      </c>
      <c r="H143" s="37">
        <v>4.73</v>
      </c>
      <c r="I143" s="37">
        <f t="shared" si="9"/>
        <v>94.60000000000001</v>
      </c>
    </row>
    <row r="144" spans="2:9" s="33" customFormat="1" ht="15">
      <c r="B144" s="38">
        <v>171</v>
      </c>
      <c r="C144" s="44">
        <f>$G$2*10</f>
        <v>10</v>
      </c>
      <c r="D144" s="35" t="s">
        <v>132</v>
      </c>
      <c r="E144" s="45" t="s">
        <v>291</v>
      </c>
      <c r="F144" s="46" t="s">
        <v>264</v>
      </c>
      <c r="G144" s="47">
        <v>101410</v>
      </c>
      <c r="H144" s="37">
        <v>9.9</v>
      </c>
      <c r="I144" s="37">
        <f t="shared" si="9"/>
        <v>99</v>
      </c>
    </row>
    <row r="145" spans="2:9" s="33" customFormat="1" ht="15">
      <c r="B145" s="34">
        <v>172</v>
      </c>
      <c r="C145" s="44">
        <f>$G$2*5</f>
        <v>5</v>
      </c>
      <c r="D145" s="35" t="s">
        <v>132</v>
      </c>
      <c r="E145" s="45" t="s">
        <v>292</v>
      </c>
      <c r="F145" s="46" t="s">
        <v>264</v>
      </c>
      <c r="G145" s="47">
        <v>101430</v>
      </c>
      <c r="H145" s="37">
        <v>9.9</v>
      </c>
      <c r="I145" s="37">
        <f t="shared" si="9"/>
        <v>49.5</v>
      </c>
    </row>
    <row r="146" spans="2:9" s="33" customFormat="1" ht="15">
      <c r="B146" s="34">
        <v>173</v>
      </c>
      <c r="C146" s="44">
        <f>$G$2*400</f>
        <v>400</v>
      </c>
      <c r="D146" s="35" t="s">
        <v>132</v>
      </c>
      <c r="E146" s="45" t="s">
        <v>293</v>
      </c>
      <c r="F146" s="46" t="s">
        <v>264</v>
      </c>
      <c r="G146" s="47">
        <v>102000</v>
      </c>
      <c r="H146" s="37">
        <v>0.83</v>
      </c>
      <c r="I146" s="37">
        <f t="shared" si="9"/>
        <v>332</v>
      </c>
    </row>
    <row r="147" spans="2:9" s="33" customFormat="1" ht="15">
      <c r="B147" s="34">
        <v>174</v>
      </c>
      <c r="C147" s="44">
        <f>$G$2*30</f>
        <v>30</v>
      </c>
      <c r="D147" s="35" t="s">
        <v>132</v>
      </c>
      <c r="E147" s="45" t="s">
        <v>294</v>
      </c>
      <c r="F147" s="46" t="s">
        <v>264</v>
      </c>
      <c r="G147" s="47">
        <v>105000</v>
      </c>
      <c r="H147" s="37">
        <v>0.61</v>
      </c>
      <c r="I147" s="37">
        <f t="shared" si="9"/>
        <v>18.3</v>
      </c>
    </row>
    <row r="148" spans="2:9" s="33" customFormat="1" ht="15">
      <c r="B148" s="38">
        <v>175</v>
      </c>
      <c r="C148" s="44">
        <f>$G$2</f>
        <v>1</v>
      </c>
      <c r="D148" s="35" t="s">
        <v>132</v>
      </c>
      <c r="E148" s="45" t="s">
        <v>295</v>
      </c>
      <c r="F148" s="46" t="s">
        <v>264</v>
      </c>
      <c r="G148" s="47">
        <v>160986</v>
      </c>
      <c r="H148" s="37">
        <v>37.71</v>
      </c>
      <c r="I148" s="37">
        <f t="shared" si="9"/>
        <v>37.71</v>
      </c>
    </row>
    <row r="149" spans="2:9" s="33" customFormat="1" ht="15">
      <c r="B149" s="38">
        <v>176</v>
      </c>
      <c r="C149" s="44">
        <f>$G$2</f>
        <v>1</v>
      </c>
      <c r="D149" s="35" t="s">
        <v>132</v>
      </c>
      <c r="E149" s="45" t="s">
        <v>296</v>
      </c>
      <c r="F149" s="46" t="s">
        <v>264</v>
      </c>
      <c r="G149" s="47">
        <v>171817</v>
      </c>
      <c r="H149" s="37">
        <v>13.12</v>
      </c>
      <c r="I149" s="37">
        <f t="shared" si="9"/>
        <v>13.12</v>
      </c>
    </row>
    <row r="150" spans="2:9" s="33" customFormat="1" ht="15">
      <c r="B150" s="34">
        <v>177</v>
      </c>
      <c r="C150" s="44">
        <f>$G$2</f>
        <v>1</v>
      </c>
      <c r="D150" s="35" t="s">
        <v>132</v>
      </c>
      <c r="E150" s="45" t="s">
        <v>297</v>
      </c>
      <c r="F150" s="46" t="s">
        <v>264</v>
      </c>
      <c r="G150" s="60">
        <v>171818</v>
      </c>
      <c r="H150" s="37">
        <v>13.12</v>
      </c>
      <c r="I150" s="37">
        <f t="shared" si="9"/>
        <v>13.12</v>
      </c>
    </row>
    <row r="151" spans="2:9" s="33" customFormat="1" ht="15">
      <c r="B151" s="34">
        <v>178</v>
      </c>
      <c r="C151" s="44">
        <f>$G$2*2</f>
        <v>2</v>
      </c>
      <c r="D151" s="35" t="s">
        <v>132</v>
      </c>
      <c r="E151" s="45" t="s">
        <v>298</v>
      </c>
      <c r="F151" s="46" t="s">
        <v>264</v>
      </c>
      <c r="G151" s="60">
        <v>7940000037</v>
      </c>
      <c r="H151" s="37">
        <v>71.5</v>
      </c>
      <c r="I151" s="37">
        <f t="shared" si="9"/>
        <v>143</v>
      </c>
    </row>
    <row r="152" spans="2:10" s="33" customFormat="1" ht="15">
      <c r="B152" s="34"/>
      <c r="C152" s="44"/>
      <c r="D152" s="35"/>
      <c r="E152" s="45"/>
      <c r="F152" s="46"/>
      <c r="G152" s="60"/>
      <c r="H152" s="37"/>
      <c r="I152" s="37"/>
      <c r="J152" s="57">
        <f>SUM(I59:I151)</f>
        <v>53598.61600000002</v>
      </c>
    </row>
    <row r="153" spans="2:9" s="33" customFormat="1" ht="18">
      <c r="B153" s="20" t="s">
        <v>448</v>
      </c>
      <c r="C153" s="17"/>
      <c r="D153" s="5"/>
      <c r="E153" s="4"/>
      <c r="F153" s="4"/>
      <c r="G153" s="4"/>
      <c r="H153" s="6"/>
      <c r="I153" s="6"/>
    </row>
    <row r="154" spans="2:9" s="33" customFormat="1" ht="15">
      <c r="B154" s="1">
        <v>185</v>
      </c>
      <c r="C154" s="36">
        <f>$G$2*4</f>
        <v>4</v>
      </c>
      <c r="D154" s="4" t="s">
        <v>132</v>
      </c>
      <c r="E154" s="33" t="s">
        <v>437</v>
      </c>
      <c r="F154" s="4" t="s">
        <v>449</v>
      </c>
      <c r="G154" s="117" t="s">
        <v>438</v>
      </c>
      <c r="H154" s="6">
        <v>1800</v>
      </c>
      <c r="I154" s="14">
        <f aca="true" t="shared" si="11" ref="I154:I160">C154*H154</f>
        <v>7200</v>
      </c>
    </row>
    <row r="155" spans="2:9" s="33" customFormat="1" ht="15">
      <c r="B155" s="1">
        <v>186</v>
      </c>
      <c r="C155" s="36">
        <f>$G$2</f>
        <v>1</v>
      </c>
      <c r="D155" s="4" t="s">
        <v>439</v>
      </c>
      <c r="E155" s="33" t="s">
        <v>440</v>
      </c>
      <c r="F155" s="4" t="s">
        <v>449</v>
      </c>
      <c r="G155" s="10">
        <v>700400</v>
      </c>
      <c r="H155" s="6">
        <v>9750</v>
      </c>
      <c r="I155" s="14">
        <f t="shared" si="11"/>
        <v>9750</v>
      </c>
    </row>
    <row r="156" spans="2:9" s="33" customFormat="1" ht="15">
      <c r="B156" s="1">
        <v>187</v>
      </c>
      <c r="C156" s="36">
        <f>$G$2</f>
        <v>1</v>
      </c>
      <c r="D156" s="4" t="s">
        <v>439</v>
      </c>
      <c r="E156" s="33" t="s">
        <v>445</v>
      </c>
      <c r="F156" s="4" t="s">
        <v>449</v>
      </c>
      <c r="G156" s="10">
        <v>700401</v>
      </c>
      <c r="H156" s="6">
        <v>3750</v>
      </c>
      <c r="I156" s="14">
        <f t="shared" si="11"/>
        <v>3750</v>
      </c>
    </row>
    <row r="157" spans="2:9" s="33" customFormat="1" ht="15">
      <c r="B157" s="1">
        <v>188</v>
      </c>
      <c r="C157" s="36">
        <f>$G$2*3</f>
        <v>3</v>
      </c>
      <c r="D157" s="4" t="s">
        <v>439</v>
      </c>
      <c r="E157" s="33" t="s">
        <v>446</v>
      </c>
      <c r="F157" s="4" t="s">
        <v>449</v>
      </c>
      <c r="G157" s="117" t="s">
        <v>441</v>
      </c>
      <c r="H157" s="6">
        <v>1950</v>
      </c>
      <c r="I157" s="14">
        <f t="shared" si="11"/>
        <v>5850</v>
      </c>
    </row>
    <row r="158" spans="2:9" s="33" customFormat="1" ht="15">
      <c r="B158" s="1">
        <v>189</v>
      </c>
      <c r="C158" s="36">
        <f>$G$2*4</f>
        <v>4</v>
      </c>
      <c r="D158" s="4" t="s">
        <v>439</v>
      </c>
      <c r="E158" s="33" t="s">
        <v>447</v>
      </c>
      <c r="F158" s="4" t="s">
        <v>449</v>
      </c>
      <c r="G158" s="4"/>
      <c r="H158" s="6">
        <v>150</v>
      </c>
      <c r="I158" s="14">
        <f t="shared" si="11"/>
        <v>600</v>
      </c>
    </row>
    <row r="159" spans="2:9" s="33" customFormat="1" ht="15">
      <c r="B159" s="1">
        <v>190</v>
      </c>
      <c r="C159" s="36">
        <f>$G$2*4</f>
        <v>4</v>
      </c>
      <c r="D159" s="4" t="s">
        <v>439</v>
      </c>
      <c r="E159" s="33" t="s">
        <v>442</v>
      </c>
      <c r="F159" s="4" t="s">
        <v>449</v>
      </c>
      <c r="G159" s="4"/>
      <c r="H159" s="6">
        <v>125</v>
      </c>
      <c r="I159" s="14">
        <f t="shared" si="11"/>
        <v>500</v>
      </c>
    </row>
    <row r="160" spans="2:9" s="33" customFormat="1" ht="15">
      <c r="B160" s="1">
        <v>200</v>
      </c>
      <c r="C160" s="36">
        <f>$G$2</f>
        <v>1</v>
      </c>
      <c r="D160" s="4" t="s">
        <v>443</v>
      </c>
      <c r="E160" s="33" t="s">
        <v>444</v>
      </c>
      <c r="F160" s="4" t="s">
        <v>449</v>
      </c>
      <c r="G160" s="4"/>
      <c r="H160" s="6">
        <v>250</v>
      </c>
      <c r="I160" s="14">
        <f t="shared" si="11"/>
        <v>250</v>
      </c>
    </row>
    <row r="161" spans="2:10" s="33" customFormat="1" ht="15">
      <c r="B161" s="34"/>
      <c r="C161" s="44"/>
      <c r="D161" s="35"/>
      <c r="E161" s="45"/>
      <c r="F161" s="46"/>
      <c r="G161" s="47"/>
      <c r="H161" s="37"/>
      <c r="I161" s="37"/>
      <c r="J161" s="57">
        <f>SUM(I154:I160)</f>
        <v>27900</v>
      </c>
    </row>
    <row r="162" ht="18">
      <c r="B162" s="20" t="s">
        <v>365</v>
      </c>
    </row>
    <row r="163" spans="2:9" s="33" customFormat="1" ht="15">
      <c r="B163" s="34">
        <v>20</v>
      </c>
      <c r="C163" s="36">
        <f>$G$3</f>
        <v>4</v>
      </c>
      <c r="D163" s="35" t="s">
        <v>132</v>
      </c>
      <c r="E163" s="33" t="s">
        <v>10</v>
      </c>
      <c r="F163" s="33" t="s">
        <v>414</v>
      </c>
      <c r="G163" s="36" t="s">
        <v>11</v>
      </c>
      <c r="H163" s="37">
        <v>1650</v>
      </c>
      <c r="I163" s="37">
        <f aca="true" t="shared" si="12" ref="I163:I171">C163*H163</f>
        <v>6600</v>
      </c>
    </row>
    <row r="164" spans="2:9" s="33" customFormat="1" ht="15">
      <c r="B164" s="38">
        <v>21</v>
      </c>
      <c r="C164" s="36" t="str">
        <f>+IF($G$2&lt;=0,"0","1")</f>
        <v>1</v>
      </c>
      <c r="D164" s="35" t="s">
        <v>132</v>
      </c>
      <c r="E164" s="33" t="s">
        <v>12</v>
      </c>
      <c r="F164" s="33" t="s">
        <v>415</v>
      </c>
      <c r="G164" s="36" t="s">
        <v>13</v>
      </c>
      <c r="H164" s="37">
        <v>50</v>
      </c>
      <c r="I164" s="37">
        <f t="shared" si="12"/>
        <v>50</v>
      </c>
    </row>
    <row r="165" spans="2:9" s="33" customFormat="1" ht="15">
      <c r="B165" s="34">
        <v>22</v>
      </c>
      <c r="C165" s="36">
        <f>$G$3</f>
        <v>4</v>
      </c>
      <c r="D165" s="35" t="s">
        <v>132</v>
      </c>
      <c r="E165" s="33" t="s">
        <v>14</v>
      </c>
      <c r="F165" s="33" t="s">
        <v>414</v>
      </c>
      <c r="G165" s="36" t="s">
        <v>15</v>
      </c>
      <c r="H165" s="37">
        <v>50</v>
      </c>
      <c r="I165" s="37">
        <f t="shared" si="12"/>
        <v>200</v>
      </c>
    </row>
    <row r="166" spans="2:9" s="33" customFormat="1" ht="15">
      <c r="B166" s="34">
        <v>23</v>
      </c>
      <c r="C166" s="36">
        <f>$G$3</f>
        <v>4</v>
      </c>
      <c r="D166" s="35" t="s">
        <v>132</v>
      </c>
      <c r="E166" s="39" t="s">
        <v>16</v>
      </c>
      <c r="F166" s="39" t="s">
        <v>371</v>
      </c>
      <c r="G166" s="36">
        <v>9261</v>
      </c>
      <c r="H166" s="37">
        <v>500</v>
      </c>
      <c r="I166" s="37">
        <f t="shared" si="12"/>
        <v>2000</v>
      </c>
    </row>
    <row r="167" spans="2:9" s="33" customFormat="1" ht="15">
      <c r="B167" s="34">
        <v>24</v>
      </c>
      <c r="C167" s="36">
        <f>$G$3</f>
        <v>4</v>
      </c>
      <c r="D167" s="35" t="s">
        <v>132</v>
      </c>
      <c r="E167" s="39" t="s">
        <v>17</v>
      </c>
      <c r="F167" s="39" t="s">
        <v>371</v>
      </c>
      <c r="G167" s="36">
        <v>9953</v>
      </c>
      <c r="H167" s="37">
        <v>510</v>
      </c>
      <c r="I167" s="37">
        <f t="shared" si="12"/>
        <v>2040</v>
      </c>
    </row>
    <row r="168" spans="2:9" s="33" customFormat="1" ht="15">
      <c r="B168" s="38">
        <v>25</v>
      </c>
      <c r="C168" s="36">
        <f>$G$3</f>
        <v>4</v>
      </c>
      <c r="D168" s="35" t="s">
        <v>132</v>
      </c>
      <c r="E168" s="39" t="s">
        <v>205</v>
      </c>
      <c r="F168" s="39" t="s">
        <v>371</v>
      </c>
      <c r="G168" s="36">
        <v>9931</v>
      </c>
      <c r="H168" s="37">
        <v>240</v>
      </c>
      <c r="I168" s="37">
        <f t="shared" si="12"/>
        <v>960</v>
      </c>
    </row>
    <row r="169" spans="2:9" s="33" customFormat="1" ht="15">
      <c r="B169" s="34">
        <v>26</v>
      </c>
      <c r="C169" s="36">
        <f>$G$3*2</f>
        <v>8</v>
      </c>
      <c r="D169" s="35" t="s">
        <v>132</v>
      </c>
      <c r="E169" s="39" t="s">
        <v>206</v>
      </c>
      <c r="F169" s="39" t="s">
        <v>371</v>
      </c>
      <c r="G169" s="36" t="s">
        <v>18</v>
      </c>
      <c r="H169" s="37">
        <v>210</v>
      </c>
      <c r="I169" s="37">
        <f t="shared" si="12"/>
        <v>1680</v>
      </c>
    </row>
    <row r="170" spans="2:9" s="33" customFormat="1" ht="15">
      <c r="B170" s="34">
        <v>27</v>
      </c>
      <c r="C170" s="36">
        <f>$G$3*2</f>
        <v>8</v>
      </c>
      <c r="D170" s="35" t="s">
        <v>132</v>
      </c>
      <c r="E170" s="39" t="s">
        <v>207</v>
      </c>
      <c r="F170" s="39" t="s">
        <v>371</v>
      </c>
      <c r="G170" s="36">
        <v>9912</v>
      </c>
      <c r="H170" s="37">
        <v>145</v>
      </c>
      <c r="I170" s="37">
        <f t="shared" si="12"/>
        <v>1160</v>
      </c>
    </row>
    <row r="171" spans="2:9" s="33" customFormat="1" ht="15">
      <c r="B171" s="34">
        <v>28</v>
      </c>
      <c r="C171" s="36">
        <f>$G$3*2</f>
        <v>8</v>
      </c>
      <c r="D171" s="35" t="s">
        <v>132</v>
      </c>
      <c r="E171" s="39" t="s">
        <v>208</v>
      </c>
      <c r="F171" s="39" t="s">
        <v>371</v>
      </c>
      <c r="G171" s="36" t="s">
        <v>19</v>
      </c>
      <c r="H171" s="37">
        <v>210</v>
      </c>
      <c r="I171" s="37">
        <f t="shared" si="12"/>
        <v>1680</v>
      </c>
    </row>
    <row r="172" spans="2:9" s="33" customFormat="1" ht="15">
      <c r="B172" s="34">
        <v>38</v>
      </c>
      <c r="C172" s="36">
        <f>3*$G$3</f>
        <v>12</v>
      </c>
      <c r="D172" s="35" t="s">
        <v>132</v>
      </c>
      <c r="E172" s="33" t="s">
        <v>38</v>
      </c>
      <c r="F172" s="40" t="s">
        <v>39</v>
      </c>
      <c r="G172" s="36" t="s">
        <v>40</v>
      </c>
      <c r="H172" s="37">
        <v>40</v>
      </c>
      <c r="I172" s="37">
        <f aca="true" t="shared" si="13" ref="I172:I180">C172*H172</f>
        <v>480</v>
      </c>
    </row>
    <row r="173" spans="2:9" s="33" customFormat="1" ht="15">
      <c r="B173" s="34">
        <v>39</v>
      </c>
      <c r="C173" s="36">
        <f>$G$3</f>
        <v>4</v>
      </c>
      <c r="D173" s="35" t="s">
        <v>132</v>
      </c>
      <c r="E173" s="33" t="s">
        <v>41</v>
      </c>
      <c r="F173" s="40" t="s">
        <v>372</v>
      </c>
      <c r="G173" s="36" t="s">
        <v>42</v>
      </c>
      <c r="H173" s="37">
        <v>1340</v>
      </c>
      <c r="I173" s="37">
        <f t="shared" si="13"/>
        <v>5360</v>
      </c>
    </row>
    <row r="174" spans="2:9" s="33" customFormat="1" ht="15">
      <c r="B174" s="34">
        <v>40</v>
      </c>
      <c r="C174" s="36">
        <f>$G$3</f>
        <v>4</v>
      </c>
      <c r="D174" s="35" t="s">
        <v>132</v>
      </c>
      <c r="E174" s="33" t="s">
        <v>43</v>
      </c>
      <c r="F174" s="40" t="s">
        <v>372</v>
      </c>
      <c r="G174" s="36" t="s">
        <v>318</v>
      </c>
      <c r="H174" s="37">
        <v>105</v>
      </c>
      <c r="I174" s="37">
        <f t="shared" si="13"/>
        <v>420</v>
      </c>
    </row>
    <row r="175" spans="2:9" s="33" customFormat="1" ht="15">
      <c r="B175" s="38">
        <v>41</v>
      </c>
      <c r="C175" s="36">
        <f>$G$3</f>
        <v>4</v>
      </c>
      <c r="D175" s="35" t="s">
        <v>132</v>
      </c>
      <c r="E175" s="33" t="s">
        <v>44</v>
      </c>
      <c r="F175" s="40" t="s">
        <v>372</v>
      </c>
      <c r="G175" s="36" t="s">
        <v>45</v>
      </c>
      <c r="H175" s="37">
        <v>105</v>
      </c>
      <c r="I175" s="37">
        <f t="shared" si="13"/>
        <v>420</v>
      </c>
    </row>
    <row r="176" spans="2:9" s="33" customFormat="1" ht="15">
      <c r="B176" s="34">
        <v>42</v>
      </c>
      <c r="C176" s="36">
        <f>$G$3</f>
        <v>4</v>
      </c>
      <c r="D176" s="35" t="s">
        <v>132</v>
      </c>
      <c r="E176" s="33" t="s">
        <v>46</v>
      </c>
      <c r="F176" s="40" t="s">
        <v>372</v>
      </c>
      <c r="G176" s="36" t="s">
        <v>47</v>
      </c>
      <c r="H176" s="37">
        <v>73.5</v>
      </c>
      <c r="I176" s="37">
        <f t="shared" si="13"/>
        <v>294</v>
      </c>
    </row>
    <row r="177" spans="2:9" s="33" customFormat="1" ht="15">
      <c r="B177" s="34">
        <v>44</v>
      </c>
      <c r="C177" s="36">
        <f>$G$3*2</f>
        <v>8</v>
      </c>
      <c r="D177" s="35" t="s">
        <v>132</v>
      </c>
      <c r="E177" s="33" t="s">
        <v>50</v>
      </c>
      <c r="F177" s="40" t="s">
        <v>372</v>
      </c>
      <c r="G177" s="36" t="s">
        <v>51</v>
      </c>
      <c r="H177" s="37">
        <v>120.75</v>
      </c>
      <c r="I177" s="37">
        <f t="shared" si="13"/>
        <v>966</v>
      </c>
    </row>
    <row r="178" spans="2:9" s="33" customFormat="1" ht="15">
      <c r="B178" s="38">
        <v>45</v>
      </c>
      <c r="C178" s="36">
        <f>$G$3*2</f>
        <v>8</v>
      </c>
      <c r="D178" s="35" t="s">
        <v>132</v>
      </c>
      <c r="E178" s="33" t="s">
        <v>52</v>
      </c>
      <c r="F178" s="40" t="s">
        <v>372</v>
      </c>
      <c r="G178" s="36" t="s">
        <v>53</v>
      </c>
      <c r="H178" s="37">
        <v>10.5</v>
      </c>
      <c r="I178" s="37">
        <f t="shared" si="13"/>
        <v>84</v>
      </c>
    </row>
    <row r="179" spans="2:9" s="33" customFormat="1" ht="15">
      <c r="B179" s="34">
        <v>48</v>
      </c>
      <c r="C179" s="36">
        <f>$G$3</f>
        <v>4</v>
      </c>
      <c r="D179" s="35" t="s">
        <v>132</v>
      </c>
      <c r="E179" s="33" t="s">
        <v>56</v>
      </c>
      <c r="F179" s="33" t="s">
        <v>57</v>
      </c>
      <c r="G179" s="36" t="s">
        <v>58</v>
      </c>
      <c r="H179" s="42">
        <v>70</v>
      </c>
      <c r="I179" s="37">
        <f t="shared" si="13"/>
        <v>280</v>
      </c>
    </row>
    <row r="180" spans="2:9" s="33" customFormat="1" ht="15">
      <c r="B180" s="34">
        <v>56</v>
      </c>
      <c r="C180" s="36">
        <f>4*$G$3</f>
        <v>16</v>
      </c>
      <c r="D180" s="35" t="s">
        <v>132</v>
      </c>
      <c r="E180" s="33" t="s">
        <v>67</v>
      </c>
      <c r="F180" s="39" t="s">
        <v>68</v>
      </c>
      <c r="G180" s="36" t="s">
        <v>68</v>
      </c>
      <c r="H180" s="37">
        <v>4</v>
      </c>
      <c r="I180" s="37">
        <f t="shared" si="13"/>
        <v>64</v>
      </c>
    </row>
    <row r="181" spans="2:9" s="33" customFormat="1" ht="15">
      <c r="B181" s="34">
        <v>89</v>
      </c>
      <c r="C181" s="44">
        <f>+IF($G$2&lt;=0,"0",1+$G$3)</f>
        <v>5</v>
      </c>
      <c r="D181" s="35" t="s">
        <v>132</v>
      </c>
      <c r="E181" s="61" t="s">
        <v>72</v>
      </c>
      <c r="F181" s="40" t="s">
        <v>73</v>
      </c>
      <c r="G181" s="62" t="s">
        <v>74</v>
      </c>
      <c r="H181" s="37">
        <v>209</v>
      </c>
      <c r="I181" s="37">
        <f aca="true" t="shared" si="14" ref="I181:I205">C181*H181</f>
        <v>1045</v>
      </c>
    </row>
    <row r="182" spans="2:9" s="33" customFormat="1" ht="15">
      <c r="B182" s="34">
        <v>97</v>
      </c>
      <c r="C182" s="36">
        <f>ROUNDUP(($G$3*3)/8,0)</f>
        <v>2</v>
      </c>
      <c r="D182" s="35" t="s">
        <v>132</v>
      </c>
      <c r="E182" s="33" t="s">
        <v>383</v>
      </c>
      <c r="F182" s="33" t="s">
        <v>367</v>
      </c>
      <c r="G182" s="36" t="s">
        <v>75</v>
      </c>
      <c r="H182" s="42">
        <v>1000</v>
      </c>
      <c r="I182" s="37">
        <f t="shared" si="14"/>
        <v>2000</v>
      </c>
    </row>
    <row r="183" spans="2:9" s="33" customFormat="1" ht="15">
      <c r="B183" s="34">
        <v>126</v>
      </c>
      <c r="C183" s="36">
        <f>ROUNDUP((3*$G$3)/16,0)</f>
        <v>1</v>
      </c>
      <c r="D183" s="35" t="s">
        <v>132</v>
      </c>
      <c r="E183" s="33" t="s">
        <v>122</v>
      </c>
      <c r="F183" s="40" t="s">
        <v>120</v>
      </c>
      <c r="G183" s="36" t="s">
        <v>123</v>
      </c>
      <c r="H183" s="37">
        <v>7075</v>
      </c>
      <c r="I183" s="37">
        <f t="shared" si="14"/>
        <v>7075</v>
      </c>
    </row>
    <row r="184" spans="2:9" s="33" customFormat="1" ht="15">
      <c r="B184" s="34">
        <v>127</v>
      </c>
      <c r="C184" s="36">
        <f>ROUNDUP((3*$G$3)/8,0)</f>
        <v>2</v>
      </c>
      <c r="D184" s="35" t="s">
        <v>132</v>
      </c>
      <c r="E184" s="33" t="s">
        <v>124</v>
      </c>
      <c r="F184" s="40" t="s">
        <v>120</v>
      </c>
      <c r="G184" s="36" t="s">
        <v>125</v>
      </c>
      <c r="H184" s="37">
        <v>2889</v>
      </c>
      <c r="I184" s="37">
        <f t="shared" si="14"/>
        <v>5778</v>
      </c>
    </row>
    <row r="185" spans="2:9" s="33" customFormat="1" ht="15">
      <c r="B185" s="34">
        <v>128</v>
      </c>
      <c r="C185" s="36">
        <f>3*$G$3</f>
        <v>12</v>
      </c>
      <c r="D185" s="35" t="s">
        <v>132</v>
      </c>
      <c r="E185" s="33" t="s">
        <v>126</v>
      </c>
      <c r="F185" s="40" t="s">
        <v>120</v>
      </c>
      <c r="G185" s="36" t="s">
        <v>127</v>
      </c>
      <c r="H185" s="37">
        <v>441</v>
      </c>
      <c r="I185" s="37">
        <f t="shared" si="14"/>
        <v>5292</v>
      </c>
    </row>
    <row r="186" spans="2:9" s="33" customFormat="1" ht="15">
      <c r="B186" s="34">
        <v>143</v>
      </c>
      <c r="C186" s="36">
        <f>2*$G$3</f>
        <v>8</v>
      </c>
      <c r="D186" s="35" t="s">
        <v>132</v>
      </c>
      <c r="E186" s="33" t="s">
        <v>138</v>
      </c>
      <c r="F186" s="33" t="s">
        <v>370</v>
      </c>
      <c r="G186" s="59" t="s">
        <v>139</v>
      </c>
      <c r="H186" s="37">
        <v>69.3</v>
      </c>
      <c r="I186" s="37">
        <f t="shared" si="14"/>
        <v>554.4</v>
      </c>
    </row>
    <row r="187" spans="2:9" s="33" customFormat="1" ht="15">
      <c r="B187" s="34">
        <v>144</v>
      </c>
      <c r="C187" s="36">
        <f>$G$3</f>
        <v>4</v>
      </c>
      <c r="D187" s="35" t="s">
        <v>132</v>
      </c>
      <c r="E187" s="33" t="s">
        <v>140</v>
      </c>
      <c r="F187" s="33" t="s">
        <v>370</v>
      </c>
      <c r="G187" s="36" t="s">
        <v>141</v>
      </c>
      <c r="H187" s="37">
        <v>122.5</v>
      </c>
      <c r="I187" s="37">
        <f t="shared" si="14"/>
        <v>490</v>
      </c>
    </row>
    <row r="188" spans="2:9" s="33" customFormat="1" ht="15">
      <c r="B188" s="34">
        <v>147</v>
      </c>
      <c r="C188" s="36">
        <f>$G$3</f>
        <v>4</v>
      </c>
      <c r="D188" s="35" t="s">
        <v>132</v>
      </c>
      <c r="E188" s="33" t="s">
        <v>145</v>
      </c>
      <c r="F188" s="33" t="s">
        <v>370</v>
      </c>
      <c r="G188" s="36" t="s">
        <v>146</v>
      </c>
      <c r="H188" s="37">
        <v>80.5</v>
      </c>
      <c r="I188" s="37">
        <f t="shared" si="14"/>
        <v>322</v>
      </c>
    </row>
    <row r="189" spans="2:9" s="33" customFormat="1" ht="15">
      <c r="B189" s="34">
        <v>149</v>
      </c>
      <c r="C189" s="36">
        <f>2*$G$3</f>
        <v>8</v>
      </c>
      <c r="D189" s="35" t="s">
        <v>132</v>
      </c>
      <c r="E189" s="33" t="s">
        <v>149</v>
      </c>
      <c r="F189" s="33" t="s">
        <v>370</v>
      </c>
      <c r="G189" s="36" t="s">
        <v>150</v>
      </c>
      <c r="H189" s="37">
        <v>393.4</v>
      </c>
      <c r="I189" s="37">
        <f t="shared" si="14"/>
        <v>3147.2</v>
      </c>
    </row>
    <row r="190" spans="2:9" s="33" customFormat="1" ht="15">
      <c r="B190" s="34">
        <v>151</v>
      </c>
      <c r="C190" s="36">
        <f>$G$3</f>
        <v>4</v>
      </c>
      <c r="D190" s="35" t="s">
        <v>132</v>
      </c>
      <c r="E190" s="33" t="s">
        <v>382</v>
      </c>
      <c r="F190" s="33" t="s">
        <v>370</v>
      </c>
      <c r="G190" s="36" t="s">
        <v>153</v>
      </c>
      <c r="H190" s="37">
        <v>594.3</v>
      </c>
      <c r="I190" s="37">
        <f t="shared" si="14"/>
        <v>2377.2</v>
      </c>
    </row>
    <row r="191" spans="2:9" s="33" customFormat="1" ht="15">
      <c r="B191" s="34">
        <v>152</v>
      </c>
      <c r="C191" s="36">
        <f>2*$G$3</f>
        <v>8</v>
      </c>
      <c r="D191" s="35" t="s">
        <v>132</v>
      </c>
      <c r="E191" s="33" t="s">
        <v>154</v>
      </c>
      <c r="F191" s="33" t="s">
        <v>370</v>
      </c>
      <c r="G191" s="36" t="s">
        <v>155</v>
      </c>
      <c r="H191" s="37">
        <v>52.5</v>
      </c>
      <c r="I191" s="37">
        <f t="shared" si="14"/>
        <v>420</v>
      </c>
    </row>
    <row r="192" spans="2:9" s="33" customFormat="1" ht="15">
      <c r="B192" s="38">
        <v>154</v>
      </c>
      <c r="C192" s="36">
        <f>$G$3</f>
        <v>4</v>
      </c>
      <c r="D192" s="35" t="s">
        <v>132</v>
      </c>
      <c r="E192" s="33" t="s">
        <v>158</v>
      </c>
      <c r="F192" s="33" t="s">
        <v>370</v>
      </c>
      <c r="G192" s="36" t="s">
        <v>159</v>
      </c>
      <c r="H192" s="37">
        <v>542.5</v>
      </c>
      <c r="I192" s="37">
        <f t="shared" si="14"/>
        <v>2170</v>
      </c>
    </row>
    <row r="193" spans="2:9" s="33" customFormat="1" ht="15">
      <c r="B193" s="34">
        <v>155</v>
      </c>
      <c r="C193" s="36">
        <f>$G$3</f>
        <v>4</v>
      </c>
      <c r="D193" s="35" t="s">
        <v>132</v>
      </c>
      <c r="E193" s="33" t="s">
        <v>160</v>
      </c>
      <c r="F193" s="33" t="s">
        <v>370</v>
      </c>
      <c r="G193" s="36" t="s">
        <v>161</v>
      </c>
      <c r="H193" s="37">
        <v>84</v>
      </c>
      <c r="I193" s="37">
        <f t="shared" si="14"/>
        <v>336</v>
      </c>
    </row>
    <row r="194" spans="2:9" s="33" customFormat="1" ht="15">
      <c r="B194" s="34">
        <v>157</v>
      </c>
      <c r="C194" s="36">
        <f>$G$3</f>
        <v>4</v>
      </c>
      <c r="D194" s="35" t="s">
        <v>132</v>
      </c>
      <c r="E194" s="33" t="s">
        <v>164</v>
      </c>
      <c r="F194" s="33" t="s">
        <v>370</v>
      </c>
      <c r="G194" s="59" t="s">
        <v>165</v>
      </c>
      <c r="H194" s="37">
        <v>349.3</v>
      </c>
      <c r="I194" s="37">
        <f t="shared" si="14"/>
        <v>1397.2</v>
      </c>
    </row>
    <row r="195" spans="2:9" s="33" customFormat="1" ht="15">
      <c r="B195" s="38">
        <v>159</v>
      </c>
      <c r="C195" s="36">
        <f>2*$G$3</f>
        <v>8</v>
      </c>
      <c r="D195" s="35" t="s">
        <v>132</v>
      </c>
      <c r="E195" s="33" t="s">
        <v>168</v>
      </c>
      <c r="F195" s="33" t="s">
        <v>370</v>
      </c>
      <c r="G195" s="36" t="s">
        <v>169</v>
      </c>
      <c r="H195" s="37">
        <v>69.3</v>
      </c>
      <c r="I195" s="37">
        <f t="shared" si="14"/>
        <v>554.4</v>
      </c>
    </row>
    <row r="196" spans="2:9" s="33" customFormat="1" ht="15">
      <c r="B196" s="34">
        <v>160</v>
      </c>
      <c r="C196" s="36">
        <f>$G$3</f>
        <v>4</v>
      </c>
      <c r="D196" s="35" t="s">
        <v>132</v>
      </c>
      <c r="E196" s="33" t="s">
        <v>166</v>
      </c>
      <c r="F196" s="33" t="s">
        <v>370</v>
      </c>
      <c r="G196" s="36" t="s">
        <v>170</v>
      </c>
      <c r="H196" s="37">
        <v>185.5</v>
      </c>
      <c r="I196" s="37">
        <f t="shared" si="14"/>
        <v>742</v>
      </c>
    </row>
    <row r="197" spans="2:9" s="33" customFormat="1" ht="15">
      <c r="B197" s="34">
        <v>162</v>
      </c>
      <c r="C197" s="36">
        <f>2*$G$3</f>
        <v>8</v>
      </c>
      <c r="D197" s="35" t="s">
        <v>132</v>
      </c>
      <c r="E197" s="33" t="s">
        <v>173</v>
      </c>
      <c r="F197" s="33" t="s">
        <v>370</v>
      </c>
      <c r="G197" s="59" t="s">
        <v>174</v>
      </c>
      <c r="H197" s="37">
        <v>24.5</v>
      </c>
      <c r="I197" s="37">
        <f t="shared" si="14"/>
        <v>196</v>
      </c>
    </row>
    <row r="198" spans="2:9" s="33" customFormat="1" ht="15">
      <c r="B198" s="34">
        <v>165</v>
      </c>
      <c r="C198" s="36">
        <f>$G$3</f>
        <v>4</v>
      </c>
      <c r="D198" s="35" t="s">
        <v>132</v>
      </c>
      <c r="E198" s="33" t="s">
        <v>178</v>
      </c>
      <c r="F198" s="33" t="s">
        <v>179</v>
      </c>
      <c r="G198" s="36" t="s">
        <v>180</v>
      </c>
      <c r="H198" s="37">
        <v>100</v>
      </c>
      <c r="I198" s="37">
        <f t="shared" si="14"/>
        <v>400</v>
      </c>
    </row>
    <row r="199" spans="2:9" s="33" customFormat="1" ht="15">
      <c r="B199" s="34">
        <v>166</v>
      </c>
      <c r="C199" s="36">
        <f>$G$3</f>
        <v>4</v>
      </c>
      <c r="D199" s="35" t="s">
        <v>132</v>
      </c>
      <c r="E199" s="33" t="s">
        <v>181</v>
      </c>
      <c r="F199" s="33" t="s">
        <v>179</v>
      </c>
      <c r="G199" s="36" t="s">
        <v>182</v>
      </c>
      <c r="H199" s="37">
        <v>100</v>
      </c>
      <c r="I199" s="37">
        <f t="shared" si="14"/>
        <v>400</v>
      </c>
    </row>
    <row r="200" spans="2:9" s="33" customFormat="1" ht="15">
      <c r="B200" s="38">
        <v>167</v>
      </c>
      <c r="C200" s="36">
        <f>$G$3</f>
        <v>4</v>
      </c>
      <c r="D200" s="35" t="s">
        <v>132</v>
      </c>
      <c r="E200" s="33" t="s">
        <v>183</v>
      </c>
      <c r="F200" s="33" t="s">
        <v>179</v>
      </c>
      <c r="G200" s="63" t="s">
        <v>184</v>
      </c>
      <c r="H200" s="37">
        <v>476</v>
      </c>
      <c r="I200" s="37">
        <f t="shared" si="14"/>
        <v>1904</v>
      </c>
    </row>
    <row r="201" spans="2:9" s="33" customFormat="1" ht="15">
      <c r="B201" s="34">
        <v>168</v>
      </c>
      <c r="C201" s="36">
        <f>$G$3</f>
        <v>4</v>
      </c>
      <c r="D201" s="35" t="s">
        <v>132</v>
      </c>
      <c r="E201" s="33" t="s">
        <v>185</v>
      </c>
      <c r="F201" s="33" t="s">
        <v>413</v>
      </c>
      <c r="G201" s="36" t="s">
        <v>186</v>
      </c>
      <c r="H201" s="37">
        <v>306</v>
      </c>
      <c r="I201" s="37">
        <f t="shared" si="14"/>
        <v>1224</v>
      </c>
    </row>
    <row r="202" spans="2:9" s="33" customFormat="1" ht="15">
      <c r="B202" s="34">
        <v>169</v>
      </c>
      <c r="C202" s="44">
        <f>+IF($G$2&lt;=0,"0",$G$3*2+4)</f>
        <v>12</v>
      </c>
      <c r="D202" s="35" t="s">
        <v>132</v>
      </c>
      <c r="E202" s="33" t="s">
        <v>187</v>
      </c>
      <c r="F202" s="40" t="s">
        <v>188</v>
      </c>
      <c r="G202" s="36" t="s">
        <v>189</v>
      </c>
      <c r="H202" s="37">
        <v>402</v>
      </c>
      <c r="I202" s="37">
        <f t="shared" si="14"/>
        <v>4824</v>
      </c>
    </row>
    <row r="203" spans="2:9" s="33" customFormat="1" ht="15">
      <c r="B203" s="34">
        <v>179</v>
      </c>
      <c r="C203" s="36">
        <f>$G$3*3</f>
        <v>12</v>
      </c>
      <c r="D203" s="35" t="s">
        <v>132</v>
      </c>
      <c r="E203" s="33" t="s">
        <v>219</v>
      </c>
      <c r="F203" s="33" t="s">
        <v>373</v>
      </c>
      <c r="G203" s="36">
        <v>825</v>
      </c>
      <c r="H203" s="37">
        <v>58.5</v>
      </c>
      <c r="I203" s="37">
        <f t="shared" si="14"/>
        <v>702</v>
      </c>
    </row>
    <row r="204" spans="2:9" s="33" customFormat="1" ht="15">
      <c r="B204" s="38">
        <v>180</v>
      </c>
      <c r="C204" s="36">
        <f>$G$3*3</f>
        <v>12</v>
      </c>
      <c r="D204" s="35" t="s">
        <v>132</v>
      </c>
      <c r="E204" s="33" t="s">
        <v>190</v>
      </c>
      <c r="F204" s="33" t="s">
        <v>373</v>
      </c>
      <c r="G204" s="36">
        <v>4245</v>
      </c>
      <c r="H204" s="37">
        <v>99</v>
      </c>
      <c r="I204" s="37">
        <f t="shared" si="14"/>
        <v>1188</v>
      </c>
    </row>
    <row r="205" spans="2:9" s="33" customFormat="1" ht="15">
      <c r="B205" s="34">
        <v>181</v>
      </c>
      <c r="C205" s="36">
        <f>$G$3*3</f>
        <v>12</v>
      </c>
      <c r="D205" s="35" t="s">
        <v>132</v>
      </c>
      <c r="E205" s="33" t="s">
        <v>220</v>
      </c>
      <c r="F205" s="33" t="s">
        <v>373</v>
      </c>
      <c r="G205" s="36">
        <v>843</v>
      </c>
      <c r="H205" s="37">
        <v>113</v>
      </c>
      <c r="I205" s="37">
        <f t="shared" si="14"/>
        <v>1356</v>
      </c>
    </row>
    <row r="206" spans="2:10" s="33" customFormat="1" ht="15">
      <c r="B206" s="34"/>
      <c r="C206" s="44"/>
      <c r="D206" s="39"/>
      <c r="H206" s="64"/>
      <c r="I206" s="64"/>
      <c r="J206" s="57">
        <f>SUM(I163:I205)</f>
        <v>70632.4</v>
      </c>
    </row>
    <row r="207" ht="18">
      <c r="B207" s="20" t="s">
        <v>366</v>
      </c>
    </row>
    <row r="208" spans="2:9" s="33" customFormat="1" ht="15">
      <c r="B208" s="34">
        <v>43</v>
      </c>
      <c r="C208" s="36">
        <f>$G$4*2</f>
        <v>4</v>
      </c>
      <c r="D208" s="35" t="s">
        <v>132</v>
      </c>
      <c r="E208" s="33" t="s">
        <v>48</v>
      </c>
      <c r="F208" s="40" t="s">
        <v>372</v>
      </c>
      <c r="G208" s="36" t="s">
        <v>49</v>
      </c>
      <c r="H208" s="37">
        <v>730</v>
      </c>
      <c r="I208" s="37">
        <f aca="true" t="shared" si="15" ref="I208:I215">C208*H208</f>
        <v>2920</v>
      </c>
    </row>
    <row r="209" spans="2:9" s="33" customFormat="1" ht="15">
      <c r="B209" s="34">
        <v>46</v>
      </c>
      <c r="C209" s="36">
        <f>$G$4*2</f>
        <v>4</v>
      </c>
      <c r="D209" s="35" t="s">
        <v>132</v>
      </c>
      <c r="E209" s="33" t="s">
        <v>54</v>
      </c>
      <c r="F209" s="40" t="s">
        <v>372</v>
      </c>
      <c r="G209" s="36" t="s">
        <v>55</v>
      </c>
      <c r="H209" s="37">
        <v>157.5</v>
      </c>
      <c r="I209" s="37">
        <f t="shared" si="15"/>
        <v>630</v>
      </c>
    </row>
    <row r="210" spans="2:9" s="33" customFormat="1" ht="15">
      <c r="B210" s="34">
        <v>47</v>
      </c>
      <c r="C210" s="36">
        <f>$G$4*2</f>
        <v>4</v>
      </c>
      <c r="D210" s="35" t="s">
        <v>132</v>
      </c>
      <c r="E210" s="33" t="s">
        <v>319</v>
      </c>
      <c r="F210" s="40" t="s">
        <v>372</v>
      </c>
      <c r="G210" s="36" t="s">
        <v>320</v>
      </c>
      <c r="H210" s="37">
        <v>470</v>
      </c>
      <c r="I210" s="37">
        <f t="shared" si="15"/>
        <v>1880</v>
      </c>
    </row>
    <row r="211" spans="2:9" s="33" customFormat="1" ht="15">
      <c r="B211" s="34">
        <v>50</v>
      </c>
      <c r="C211" s="44">
        <f>+IF($G$2&lt;=0,"0",1+$G$4)</f>
        <v>3</v>
      </c>
      <c r="D211" s="35" t="s">
        <v>132</v>
      </c>
      <c r="E211" s="33" t="s">
        <v>210</v>
      </c>
      <c r="F211" s="39" t="s">
        <v>62</v>
      </c>
      <c r="G211" s="36">
        <v>2020</v>
      </c>
      <c r="H211" s="37">
        <v>47</v>
      </c>
      <c r="I211" s="37">
        <f t="shared" si="15"/>
        <v>141</v>
      </c>
    </row>
    <row r="212" spans="2:9" s="33" customFormat="1" ht="15">
      <c r="B212" s="34">
        <v>51</v>
      </c>
      <c r="C212" s="36">
        <f>+$G$4</f>
        <v>2</v>
      </c>
      <c r="D212" s="35" t="s">
        <v>132</v>
      </c>
      <c r="E212" s="33" t="s">
        <v>63</v>
      </c>
      <c r="F212" s="39" t="s">
        <v>62</v>
      </c>
      <c r="G212" s="65" t="s">
        <v>195</v>
      </c>
      <c r="H212" s="37">
        <v>20</v>
      </c>
      <c r="I212" s="37">
        <f t="shared" si="15"/>
        <v>40</v>
      </c>
    </row>
    <row r="213" spans="2:9" s="33" customFormat="1" ht="15">
      <c r="B213" s="34">
        <v>52</v>
      </c>
      <c r="C213" s="36">
        <f>+$G$4</f>
        <v>2</v>
      </c>
      <c r="D213" s="35" t="s">
        <v>132</v>
      </c>
      <c r="E213" s="33" t="s">
        <v>64</v>
      </c>
      <c r="F213" s="39" t="s">
        <v>62</v>
      </c>
      <c r="G213" s="65" t="s">
        <v>196</v>
      </c>
      <c r="H213" s="37">
        <v>20</v>
      </c>
      <c r="I213" s="37">
        <f t="shared" si="15"/>
        <v>40</v>
      </c>
    </row>
    <row r="214" spans="2:9" s="33" customFormat="1" ht="15">
      <c r="B214" s="38">
        <v>53</v>
      </c>
      <c r="C214" s="36">
        <f>+$G$4</f>
        <v>2</v>
      </c>
      <c r="D214" s="35" t="s">
        <v>132</v>
      </c>
      <c r="E214" s="33" t="s">
        <v>65</v>
      </c>
      <c r="F214" s="39" t="s">
        <v>62</v>
      </c>
      <c r="G214" s="65" t="s">
        <v>197</v>
      </c>
      <c r="H214" s="37">
        <v>20</v>
      </c>
      <c r="I214" s="37">
        <f t="shared" si="15"/>
        <v>40</v>
      </c>
    </row>
    <row r="215" spans="2:9" s="33" customFormat="1" ht="15">
      <c r="B215" s="34">
        <v>54</v>
      </c>
      <c r="C215" s="36">
        <f>+$G$4</f>
        <v>2</v>
      </c>
      <c r="D215" s="35" t="s">
        <v>132</v>
      </c>
      <c r="E215" s="33" t="s">
        <v>66</v>
      </c>
      <c r="F215" s="39" t="s">
        <v>62</v>
      </c>
      <c r="G215" s="65" t="s">
        <v>198</v>
      </c>
      <c r="H215" s="37">
        <v>20</v>
      </c>
      <c r="I215" s="37">
        <f t="shared" si="15"/>
        <v>40</v>
      </c>
    </row>
    <row r="216" spans="2:10" s="33" customFormat="1" ht="15">
      <c r="B216" s="26"/>
      <c r="C216" s="82"/>
      <c r="D216" s="82"/>
      <c r="F216" s="39"/>
      <c r="G216" s="65"/>
      <c r="H216" s="37"/>
      <c r="I216" s="37"/>
      <c r="J216" s="57">
        <f>SUM(I208:I215)</f>
        <v>5731</v>
      </c>
    </row>
    <row r="217" spans="2:9" ht="18">
      <c r="B217" s="20" t="s">
        <v>384</v>
      </c>
      <c r="C217" s="10"/>
      <c r="D217" s="2"/>
      <c r="F217" s="5"/>
      <c r="G217" s="11"/>
      <c r="H217" s="14"/>
      <c r="I217" s="14"/>
    </row>
    <row r="218" spans="2:9" s="33" customFormat="1" ht="15">
      <c r="B218" s="34">
        <v>89</v>
      </c>
      <c r="C218" s="36">
        <f>+$G$5</f>
        <v>1</v>
      </c>
      <c r="D218" s="39" t="s">
        <v>132</v>
      </c>
      <c r="E218" s="66" t="s">
        <v>72</v>
      </c>
      <c r="F218" s="67" t="s">
        <v>73</v>
      </c>
      <c r="G218" s="68" t="s">
        <v>74</v>
      </c>
      <c r="H218" s="37">
        <v>209</v>
      </c>
      <c r="I218" s="37">
        <f aca="true" t="shared" si="16" ref="I218:I234">C218*H218</f>
        <v>209</v>
      </c>
    </row>
    <row r="219" spans="2:9" s="33" customFormat="1" ht="15">
      <c r="B219" s="34">
        <v>143</v>
      </c>
      <c r="C219" s="36">
        <f>2*$G$5</f>
        <v>2</v>
      </c>
      <c r="D219" s="58" t="s">
        <v>132</v>
      </c>
      <c r="E219" s="33" t="s">
        <v>138</v>
      </c>
      <c r="F219" s="33" t="s">
        <v>370</v>
      </c>
      <c r="G219" s="59" t="s">
        <v>139</v>
      </c>
      <c r="H219" s="37">
        <v>69.3</v>
      </c>
      <c r="I219" s="37">
        <f t="shared" si="16"/>
        <v>138.6</v>
      </c>
    </row>
    <row r="220" spans="2:9" s="33" customFormat="1" ht="15">
      <c r="B220" s="34">
        <v>144</v>
      </c>
      <c r="C220" s="36">
        <f>$G$5</f>
        <v>1</v>
      </c>
      <c r="D220" s="58" t="s">
        <v>132</v>
      </c>
      <c r="E220" s="33" t="s">
        <v>140</v>
      </c>
      <c r="F220" s="33" t="s">
        <v>370</v>
      </c>
      <c r="G220" s="36" t="s">
        <v>141</v>
      </c>
      <c r="H220" s="37">
        <v>122.5</v>
      </c>
      <c r="I220" s="37">
        <f t="shared" si="16"/>
        <v>122.5</v>
      </c>
    </row>
    <row r="221" spans="2:9" s="33" customFormat="1" ht="15">
      <c r="B221" s="34">
        <v>147</v>
      </c>
      <c r="C221" s="36">
        <f>$G$5</f>
        <v>1</v>
      </c>
      <c r="D221" s="58" t="s">
        <v>132</v>
      </c>
      <c r="E221" s="33" t="s">
        <v>145</v>
      </c>
      <c r="F221" s="33" t="s">
        <v>370</v>
      </c>
      <c r="G221" s="36" t="s">
        <v>146</v>
      </c>
      <c r="H221" s="37">
        <v>80.5</v>
      </c>
      <c r="I221" s="37">
        <f t="shared" si="16"/>
        <v>80.5</v>
      </c>
    </row>
    <row r="222" spans="2:9" s="33" customFormat="1" ht="15">
      <c r="B222" s="34">
        <v>149</v>
      </c>
      <c r="C222" s="36">
        <f>$G$5</f>
        <v>1</v>
      </c>
      <c r="D222" s="58" t="s">
        <v>132</v>
      </c>
      <c r="E222" s="33" t="s">
        <v>149</v>
      </c>
      <c r="F222" s="33" t="s">
        <v>370</v>
      </c>
      <c r="G222" s="36" t="s">
        <v>150</v>
      </c>
      <c r="H222" s="37">
        <v>393.4</v>
      </c>
      <c r="I222" s="37">
        <f t="shared" si="16"/>
        <v>393.4</v>
      </c>
    </row>
    <row r="223" spans="2:9" s="33" customFormat="1" ht="15">
      <c r="B223" s="34">
        <v>151</v>
      </c>
      <c r="C223" s="36">
        <f>$G$5</f>
        <v>1</v>
      </c>
      <c r="D223" s="58" t="s">
        <v>132</v>
      </c>
      <c r="E223" s="33" t="s">
        <v>382</v>
      </c>
      <c r="F223" s="33" t="s">
        <v>370</v>
      </c>
      <c r="G223" s="36" t="s">
        <v>153</v>
      </c>
      <c r="H223" s="37">
        <v>594.3</v>
      </c>
      <c r="I223" s="37">
        <f t="shared" si="16"/>
        <v>594.3</v>
      </c>
    </row>
    <row r="224" spans="2:9" s="33" customFormat="1" ht="15">
      <c r="B224" s="34">
        <v>152</v>
      </c>
      <c r="C224" s="36">
        <f>2*$G$5</f>
        <v>2</v>
      </c>
      <c r="D224" s="58" t="s">
        <v>132</v>
      </c>
      <c r="E224" s="33" t="s">
        <v>154</v>
      </c>
      <c r="F224" s="33" t="s">
        <v>370</v>
      </c>
      <c r="G224" s="36" t="s">
        <v>155</v>
      </c>
      <c r="H224" s="37">
        <v>52.5</v>
      </c>
      <c r="I224" s="37">
        <f t="shared" si="16"/>
        <v>105</v>
      </c>
    </row>
    <row r="225" spans="2:9" s="33" customFormat="1" ht="15">
      <c r="B225" s="38">
        <v>154</v>
      </c>
      <c r="C225" s="36">
        <f>$G$5</f>
        <v>1</v>
      </c>
      <c r="D225" s="58" t="s">
        <v>132</v>
      </c>
      <c r="E225" s="33" t="s">
        <v>158</v>
      </c>
      <c r="F225" s="33" t="s">
        <v>370</v>
      </c>
      <c r="G225" s="36" t="s">
        <v>159</v>
      </c>
      <c r="H225" s="37">
        <v>542.5</v>
      </c>
      <c r="I225" s="37">
        <f t="shared" si="16"/>
        <v>542.5</v>
      </c>
    </row>
    <row r="226" spans="2:9" s="33" customFormat="1" ht="15">
      <c r="B226" s="34">
        <v>155</v>
      </c>
      <c r="C226" s="36">
        <f>$G$5</f>
        <v>1</v>
      </c>
      <c r="D226" s="58" t="s">
        <v>132</v>
      </c>
      <c r="E226" s="33" t="s">
        <v>160</v>
      </c>
      <c r="F226" s="33" t="s">
        <v>370</v>
      </c>
      <c r="G226" s="36" t="s">
        <v>161</v>
      </c>
      <c r="H226" s="37">
        <v>84</v>
      </c>
      <c r="I226" s="37">
        <f t="shared" si="16"/>
        <v>84</v>
      </c>
    </row>
    <row r="227" spans="2:9" s="33" customFormat="1" ht="15">
      <c r="B227" s="34">
        <v>157</v>
      </c>
      <c r="C227" s="36">
        <f>$G$5</f>
        <v>1</v>
      </c>
      <c r="D227" s="58" t="s">
        <v>132</v>
      </c>
      <c r="E227" s="33" t="s">
        <v>164</v>
      </c>
      <c r="F227" s="33" t="s">
        <v>370</v>
      </c>
      <c r="G227" s="59" t="s">
        <v>165</v>
      </c>
      <c r="H227" s="37">
        <v>349.3</v>
      </c>
      <c r="I227" s="37">
        <f t="shared" si="16"/>
        <v>349.3</v>
      </c>
    </row>
    <row r="228" spans="2:9" s="33" customFormat="1" ht="15">
      <c r="B228" s="38">
        <v>159</v>
      </c>
      <c r="C228" s="36">
        <f>2*$G$5</f>
        <v>2</v>
      </c>
      <c r="D228" s="58" t="s">
        <v>132</v>
      </c>
      <c r="E228" s="33" t="s">
        <v>168</v>
      </c>
      <c r="F228" s="33" t="s">
        <v>370</v>
      </c>
      <c r="G228" s="36" t="s">
        <v>169</v>
      </c>
      <c r="H228" s="37">
        <v>69.3</v>
      </c>
      <c r="I228" s="37">
        <f t="shared" si="16"/>
        <v>138.6</v>
      </c>
    </row>
    <row r="229" spans="2:9" s="33" customFormat="1" ht="15">
      <c r="B229" s="34">
        <v>160</v>
      </c>
      <c r="C229" s="36">
        <f>$G$5</f>
        <v>1</v>
      </c>
      <c r="D229" s="58" t="s">
        <v>132</v>
      </c>
      <c r="E229" s="33" t="s">
        <v>166</v>
      </c>
      <c r="F229" s="33" t="s">
        <v>370</v>
      </c>
      <c r="G229" s="36" t="s">
        <v>170</v>
      </c>
      <c r="H229" s="37">
        <v>185.5</v>
      </c>
      <c r="I229" s="37">
        <f t="shared" si="16"/>
        <v>185.5</v>
      </c>
    </row>
    <row r="230" spans="2:9" s="33" customFormat="1" ht="15">
      <c r="B230" s="34">
        <v>162</v>
      </c>
      <c r="C230" s="36">
        <f>2*$G$5</f>
        <v>2</v>
      </c>
      <c r="D230" s="58" t="s">
        <v>132</v>
      </c>
      <c r="E230" s="33" t="s">
        <v>173</v>
      </c>
      <c r="F230" s="33" t="s">
        <v>370</v>
      </c>
      <c r="G230" s="59" t="s">
        <v>174</v>
      </c>
      <c r="H230" s="37">
        <v>24.5</v>
      </c>
      <c r="I230" s="37">
        <f t="shared" si="16"/>
        <v>49</v>
      </c>
    </row>
    <row r="231" spans="2:9" s="33" customFormat="1" ht="15">
      <c r="B231" s="34">
        <v>179</v>
      </c>
      <c r="C231" s="36">
        <f>$G$5</f>
        <v>1</v>
      </c>
      <c r="D231" s="58" t="s">
        <v>132</v>
      </c>
      <c r="E231" s="33" t="s">
        <v>219</v>
      </c>
      <c r="F231" s="33" t="s">
        <v>373</v>
      </c>
      <c r="G231" s="36">
        <v>825</v>
      </c>
      <c r="H231" s="37">
        <v>58.5</v>
      </c>
      <c r="I231" s="37">
        <f t="shared" si="16"/>
        <v>58.5</v>
      </c>
    </row>
    <row r="232" spans="2:9" s="33" customFormat="1" ht="15">
      <c r="B232" s="38">
        <v>180</v>
      </c>
      <c r="C232" s="36">
        <f>$G$5</f>
        <v>1</v>
      </c>
      <c r="D232" s="58" t="s">
        <v>132</v>
      </c>
      <c r="E232" s="33" t="s">
        <v>190</v>
      </c>
      <c r="F232" s="33" t="s">
        <v>373</v>
      </c>
      <c r="G232" s="36">
        <v>4245</v>
      </c>
      <c r="H232" s="37">
        <v>99</v>
      </c>
      <c r="I232" s="37">
        <f t="shared" si="16"/>
        <v>99</v>
      </c>
    </row>
    <row r="233" spans="2:9" s="33" customFormat="1" ht="15">
      <c r="B233" s="34">
        <v>181</v>
      </c>
      <c r="C233" s="36">
        <f>$G$5</f>
        <v>1</v>
      </c>
      <c r="D233" s="58" t="s">
        <v>132</v>
      </c>
      <c r="E233" s="33" t="s">
        <v>220</v>
      </c>
      <c r="F233" s="33" t="s">
        <v>373</v>
      </c>
      <c r="G233" s="36">
        <v>843</v>
      </c>
      <c r="H233" s="37">
        <v>113</v>
      </c>
      <c r="I233" s="37">
        <f t="shared" si="16"/>
        <v>113</v>
      </c>
    </row>
    <row r="234" spans="2:9" s="33" customFormat="1" ht="15">
      <c r="B234" s="34">
        <v>169</v>
      </c>
      <c r="C234" s="36">
        <f>2*$G$5</f>
        <v>2</v>
      </c>
      <c r="D234" s="35" t="s">
        <v>132</v>
      </c>
      <c r="E234" s="33" t="s">
        <v>187</v>
      </c>
      <c r="F234" s="40" t="s">
        <v>188</v>
      </c>
      <c r="G234" s="36" t="s">
        <v>189</v>
      </c>
      <c r="H234" s="37">
        <v>402</v>
      </c>
      <c r="I234" s="37">
        <f t="shared" si="16"/>
        <v>804</v>
      </c>
    </row>
    <row r="235" spans="3:10" s="26" customFormat="1" ht="15">
      <c r="C235" s="82"/>
      <c r="D235" s="82"/>
      <c r="J235" s="119">
        <f>SUM(I218:I234)</f>
        <v>4066.7000000000003</v>
      </c>
    </row>
    <row r="236" spans="7:9" ht="18">
      <c r="G236" s="22"/>
      <c r="H236" s="22" t="s">
        <v>436</v>
      </c>
      <c r="I236" s="108">
        <f>SUM(I13:I234)</f>
        <v>251606.7859999999</v>
      </c>
    </row>
    <row r="243" spans="8:9" ht="15.75">
      <c r="H243" s="21"/>
      <c r="I243" s="21"/>
    </row>
    <row r="244" spans="4:9" ht="12.75">
      <c r="D244" s="4"/>
      <c r="H244" s="19"/>
      <c r="I244" s="19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</sheetData>
  <sheetProtection password="DEAC" sheet="1" objects="1" scenarios="1" selectLockedCells="1"/>
  <protectedRanges>
    <protectedRange password="CD5C" sqref="C62:C63 C59" name="Range1"/>
    <protectedRange password="CD5C" sqref="F59:G59" name="Range1_4"/>
    <protectedRange password="CD5C" sqref="F63:F66" name="Range1_3"/>
  </protectedRanges>
  <dataValidations count="1">
    <dataValidation allowBlank="1" showErrorMessage="1" promptTitle="Description" prompt="Enter a description - please use the words feet and inches to identify measurement. " errorTitle="Error" error="You used a single quote or a double-quote to identify feet or inches. Please use the word feet or inches to indentify the measurement." sqref="E27 E11:E12 E17"/>
  </dataValidations>
  <printOptions/>
  <pageMargins left="0.75" right="0.75" top="0.75" bottom="0.75" header="0.5" footer="0.5"/>
  <pageSetup fitToHeight="5" fitToWidth="1" horizontalDpi="600" verticalDpi="600" orientation="landscape" paperSize="17" scale="50" r:id="rId3"/>
  <headerFooter alignWithMargins="0">
    <oddHeader>&amp;C&amp;"Tahoma,Bold"&amp;18EQUIPMENT BUDGET ESTIMATE SUMMARY</oddHeader>
    <oddFooter>&amp;C&amp;P of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richard.cofer</dc:creator>
  <cp:keywords/>
  <dc:description/>
  <cp:lastModifiedBy>richard.cofer</cp:lastModifiedBy>
  <cp:lastPrinted>2007-12-19T14:08:49Z</cp:lastPrinted>
  <dcterms:created xsi:type="dcterms:W3CDTF">2007-04-11T19:24:41Z</dcterms:created>
  <dcterms:modified xsi:type="dcterms:W3CDTF">2007-12-19T14:37:59Z</dcterms:modified>
  <cp:category/>
  <cp:version/>
  <cp:contentType/>
  <cp:contentStatus/>
</cp:coreProperties>
</file>