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embeddings/oleObject5.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228"/>
  <workbookPr defaultThemeVersion="166925"/>
  <mc:AlternateContent xmlns:mc="http://schemas.openxmlformats.org/markup-compatibility/2006">
    <mc:Choice Requires="x15">
      <x15ac:absPath xmlns:x15ac="http://schemas.microsoft.com/office/spreadsheetml/2010/11/ac" url="C:\Users\gcalese\Desktop\FSM\FSM v20\v20 RUCs\"/>
    </mc:Choice>
  </mc:AlternateContent>
  <xr:revisionPtr revIDLastSave="0" documentId="13_ncr:1_{32082BDC-41E5-4340-8F15-38E41142A42C}" xr6:coauthVersionLast="34" xr6:coauthVersionMax="34" xr10:uidLastSave="{00000000-0000-0000-0000-000000000000}"/>
  <bookViews>
    <workbookView xWindow="0" yWindow="0" windowWidth="28800" windowHeight="14025" xr2:uid="{85C2226C-F6D4-42AE-8EE3-91AF1567E2E6}"/>
  </bookViews>
  <sheets>
    <sheet name="RUC Calculations FY18v20" sheetId="3" r:id="rId1"/>
    <sheet name="MILCON Inflation Table" sheetId="4" r:id="rId2"/>
    <sheet name="Mil Cost Premiums for RUCs" sheetId="5" r:id="rId3"/>
    <sheet name="M&amp;S Selection Business Rule" sheetId="6" r:id="rId4"/>
    <sheet name="2018 Elevator Rule" sheetId="7" r:id="rId5"/>
    <sheet name="Overhead Crane Business Rule" sheetId="8" r:id="rId6"/>
    <sheet name="Fire Sprinkler Business Rule" sheetId="9" r:id="rId7"/>
    <sheet name="Loading Dock Footnote" sheetId="10" r:id="rId8"/>
    <sheet name="Range Business Rules" sheetId="11" r:id="rId9"/>
  </sheets>
  <externalReferences>
    <externalReference r:id="rId10"/>
    <externalReference r:id="rId11"/>
    <externalReference r:id="rId12"/>
    <externalReference r:id="rId13"/>
  </externalReferences>
  <definedNames>
    <definedName name="_xlnm._FilterDatabase" localSheetId="2" hidden="1">'Mil Cost Premiums for RUCs'!$A$3:$R$3</definedName>
    <definedName name="_ftn1" localSheetId="3">'M&amp;S Selection Business Rule'!$A$15</definedName>
    <definedName name="_ftn2" localSheetId="3">'M&amp;S Selection Business Rule'!$A$16</definedName>
    <definedName name="_ftnref1" localSheetId="3">'M&amp;S Selection Business Rule'!$A$2</definedName>
    <definedName name="_ftnref2" localSheetId="3">'M&amp;S Selection Business Rule'!$F$2</definedName>
    <definedName name="Ecat" localSheetId="2">#REF!</definedName>
    <definedName name="Ecat" localSheetId="0">#REF!</definedName>
    <definedName name="Ecat">#REF!</definedName>
    <definedName name="Ecat1" localSheetId="0">#REF!</definedName>
    <definedName name="Ecat1">#REF!</definedName>
    <definedName name="NVMC_Lkup_UICs" localSheetId="2">#REF!</definedName>
    <definedName name="NVMC_Lkup_UICs" localSheetId="0">#REF!</definedName>
    <definedName name="NVMC_Lkup_UICs">#REF!</definedName>
    <definedName name="NVMC_lookup_UICs2" localSheetId="2">#REF!</definedName>
    <definedName name="NVMC_lookup_UICs2" localSheetId="0">#REF!</definedName>
    <definedName name="NVMC_lookup_UICs2">#REF!</definedName>
    <definedName name="_xlnm.Print_Area" localSheetId="2">'Mil Cost Premiums for RUCs'!$A$1:$R$287</definedName>
    <definedName name="_xlnm.Print_Area" localSheetId="1">'MILCON Inflation Table'!$A$1:$F$24</definedName>
    <definedName name="_xlnm.Print_Area" localSheetId="0">'RUC Calculations FY18v20'!$A$418:$L$480</definedName>
    <definedName name="_xlnm.Print_Titles" localSheetId="4">'2018 Elevator Rule'!$1:$2</definedName>
    <definedName name="PRV">'Mil Cost Premiums for RUCs'!$AS$4:$AS$533</definedName>
    <definedName name="SF_FACS" localSheetId="2">#REF!</definedName>
    <definedName name="SF_FACS" localSheetId="0">#REF!</definedName>
    <definedName name="SF_FACS">#REF!</definedName>
    <definedName name="SF_FACs2" localSheetId="2">#REF!</definedName>
    <definedName name="SF_FACs2" localSheetId="0">#REF!</definedName>
    <definedName name="SF_FACs2">#REF!</definedName>
    <definedName name="Sort_Service" localSheetId="2">#REF!</definedName>
    <definedName name="Sort_Service" localSheetId="0">#REF!</definedName>
    <definedName name="Sort_Service">#REF!</definedName>
  </definedNames>
  <calcPr calcId="179017" iterate="1" iterateCount="5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845" i="3" l="1"/>
  <c r="K202" i="3" l="1"/>
  <c r="E2835" i="3" l="1"/>
  <c r="K4050" i="3"/>
  <c r="G4050" i="3"/>
  <c r="K4049" i="3"/>
  <c r="G4049" i="3"/>
  <c r="K3851" i="3"/>
  <c r="G1057" i="3"/>
  <c r="K266" i="3"/>
  <c r="K267" i="3" s="1"/>
  <c r="J265" i="3"/>
  <c r="K251" i="3"/>
  <c r="K252" i="3" s="1"/>
  <c r="K239" i="3"/>
  <c r="K240" i="3" s="1"/>
  <c r="J238" i="3"/>
  <c r="K2423" i="3"/>
  <c r="K2424" i="3" s="1"/>
  <c r="J2422" i="3"/>
  <c r="K2407" i="3"/>
  <c r="K2410" i="3" s="1"/>
  <c r="J2406" i="3"/>
  <c r="K2393" i="3"/>
  <c r="K2409" i="3" s="1"/>
  <c r="J2392" i="3"/>
  <c r="K2379" i="3"/>
  <c r="K2408" i="3" s="1"/>
  <c r="J2378" i="3"/>
  <c r="K2411" i="3" l="1"/>
  <c r="Q125" i="5" l="1"/>
  <c r="P125" i="5"/>
  <c r="O125" i="5"/>
  <c r="N125" i="5"/>
  <c r="M125" i="5"/>
  <c r="L125" i="5"/>
  <c r="K125" i="5"/>
  <c r="J125" i="5"/>
  <c r="I125" i="5"/>
  <c r="H125" i="5"/>
  <c r="G125" i="5"/>
  <c r="F125" i="5"/>
  <c r="E125" i="5"/>
  <c r="R125" i="5" s="1"/>
  <c r="J2802" i="3" s="1"/>
  <c r="K2797" i="3"/>
  <c r="K2795" i="3"/>
  <c r="K2796" i="3" s="1"/>
  <c r="J751" i="3"/>
  <c r="F23" i="5"/>
  <c r="R23" i="5" s="1"/>
  <c r="G746" i="3"/>
  <c r="E746" i="3"/>
  <c r="K746" i="3" s="1"/>
  <c r="K745" i="3"/>
  <c r="K744" i="3"/>
  <c r="I38" i="7"/>
  <c r="J38" i="7" s="1"/>
  <c r="G38" i="7"/>
  <c r="H38" i="7" s="1"/>
  <c r="I37" i="7"/>
  <c r="J37" i="7" s="1"/>
  <c r="H37" i="7"/>
  <c r="G37" i="7"/>
  <c r="I36" i="7"/>
  <c r="J36" i="7" s="1"/>
  <c r="G36" i="7"/>
  <c r="H36" i="7" s="1"/>
  <c r="I35" i="7"/>
  <c r="J35" i="7" s="1"/>
  <c r="H35" i="7"/>
  <c r="G35" i="7"/>
  <c r="I34" i="7"/>
  <c r="J34" i="7" s="1"/>
  <c r="E34" i="7"/>
  <c r="G34" i="7" s="1"/>
  <c r="H34" i="7" s="1"/>
  <c r="I33" i="7"/>
  <c r="J33" i="7" s="1"/>
  <c r="G33" i="7"/>
  <c r="H33" i="7" s="1"/>
  <c r="I32" i="7"/>
  <c r="J32" i="7" s="1"/>
  <c r="H32" i="7"/>
  <c r="G32" i="7"/>
  <c r="J31" i="7"/>
  <c r="G31" i="7"/>
  <c r="H31" i="7" s="1"/>
  <c r="K31" i="7" s="1"/>
  <c r="L31" i="7" s="1"/>
  <c r="M31" i="7" s="1"/>
  <c r="J30" i="7"/>
  <c r="K30" i="7" s="1"/>
  <c r="L30" i="7" s="1"/>
  <c r="M30" i="7" s="1"/>
  <c r="H30" i="7"/>
  <c r="G30" i="7"/>
  <c r="I29" i="7"/>
  <c r="J29" i="7" s="1"/>
  <c r="H29" i="7"/>
  <c r="G29" i="7"/>
  <c r="I28" i="7"/>
  <c r="J28" i="7" s="1"/>
  <c r="G28" i="7"/>
  <c r="H28" i="7" s="1"/>
  <c r="J27" i="7"/>
  <c r="G27" i="7"/>
  <c r="H27" i="7" s="1"/>
  <c r="K27" i="7" s="1"/>
  <c r="L27" i="7" s="1"/>
  <c r="M27" i="7" s="1"/>
  <c r="J26" i="7"/>
  <c r="G26" i="7"/>
  <c r="H26" i="7" s="1"/>
  <c r="K26" i="7" s="1"/>
  <c r="L26" i="7" s="1"/>
  <c r="I25" i="7"/>
  <c r="J25" i="7" s="1"/>
  <c r="K25" i="7" s="1"/>
  <c r="L25" i="7" s="1"/>
  <c r="M25" i="7" s="1"/>
  <c r="H25" i="7"/>
  <c r="G25" i="7"/>
  <c r="I24" i="7"/>
  <c r="J24" i="7" s="1"/>
  <c r="H24" i="7"/>
  <c r="G24" i="7"/>
  <c r="I23" i="7"/>
  <c r="J23" i="7" s="1"/>
  <c r="G23" i="7"/>
  <c r="H23" i="7" s="1"/>
  <c r="I22" i="7"/>
  <c r="J22" i="7" s="1"/>
  <c r="H22" i="7"/>
  <c r="G22" i="7"/>
  <c r="I21" i="7"/>
  <c r="J21" i="7" s="1"/>
  <c r="G21" i="7"/>
  <c r="H21" i="7" s="1"/>
  <c r="I20" i="7"/>
  <c r="J20" i="7" s="1"/>
  <c r="G20" i="7"/>
  <c r="H20" i="7" s="1"/>
  <c r="I19" i="7"/>
  <c r="J19" i="7" s="1"/>
  <c r="G19" i="7"/>
  <c r="H19" i="7" s="1"/>
  <c r="I18" i="7"/>
  <c r="J18" i="7" s="1"/>
  <c r="K18" i="7" s="1"/>
  <c r="L18" i="7" s="1"/>
  <c r="M18" i="7" s="1"/>
  <c r="H18" i="7"/>
  <c r="G18" i="7"/>
  <c r="I17" i="7"/>
  <c r="J17" i="7" s="1"/>
  <c r="G17" i="7"/>
  <c r="H17" i="7" s="1"/>
  <c r="J16" i="7"/>
  <c r="G16" i="7"/>
  <c r="H16" i="7" s="1"/>
  <c r="K16" i="7" s="1"/>
  <c r="L16" i="7" s="1"/>
  <c r="M16" i="7" s="1"/>
  <c r="J15" i="7"/>
  <c r="G15" i="7"/>
  <c r="H15" i="7" s="1"/>
  <c r="K15" i="7" s="1"/>
  <c r="L15" i="7" s="1"/>
  <c r="I14" i="7"/>
  <c r="J14" i="7" s="1"/>
  <c r="K14" i="7" s="1"/>
  <c r="L14" i="7" s="1"/>
  <c r="M14" i="7" s="1"/>
  <c r="H14" i="7"/>
  <c r="G14" i="7"/>
  <c r="I13" i="7"/>
  <c r="J13" i="7" s="1"/>
  <c r="H13" i="7"/>
  <c r="G13" i="7"/>
  <c r="I12" i="7"/>
  <c r="J12" i="7" s="1"/>
  <c r="G12" i="7"/>
  <c r="H12" i="7" s="1"/>
  <c r="I11" i="7"/>
  <c r="J11" i="7" s="1"/>
  <c r="G11" i="7"/>
  <c r="H11" i="7" s="1"/>
  <c r="I10" i="7"/>
  <c r="J10" i="7" s="1"/>
  <c r="G10" i="7"/>
  <c r="H10" i="7" s="1"/>
  <c r="I9" i="7"/>
  <c r="J9" i="7" s="1"/>
  <c r="G9" i="7"/>
  <c r="H9" i="7" s="1"/>
  <c r="I8" i="7"/>
  <c r="J8" i="7" s="1"/>
  <c r="G8" i="7"/>
  <c r="H8" i="7" s="1"/>
  <c r="I7" i="7"/>
  <c r="J7" i="7" s="1"/>
  <c r="K7" i="7" s="1"/>
  <c r="L7" i="7" s="1"/>
  <c r="M7" i="7" s="1"/>
  <c r="H7" i="7"/>
  <c r="G7" i="7"/>
  <c r="I6" i="7"/>
  <c r="J6" i="7" s="1"/>
  <c r="G6" i="7"/>
  <c r="H6" i="7" s="1"/>
  <c r="J5" i="7"/>
  <c r="G5" i="7"/>
  <c r="H5" i="7" s="1"/>
  <c r="J4" i="7"/>
  <c r="G4" i="7"/>
  <c r="H4" i="7" s="1"/>
  <c r="K4" i="7" s="1"/>
  <c r="L4" i="7" s="1"/>
  <c r="M4" i="7" s="1"/>
  <c r="J3" i="7"/>
  <c r="G3" i="7"/>
  <c r="H3" i="7" s="1"/>
  <c r="K3" i="7" s="1"/>
  <c r="L3" i="7" s="1"/>
  <c r="M3" i="7" s="1"/>
  <c r="F265" i="5"/>
  <c r="R265" i="5" s="1"/>
  <c r="J4844" i="3" s="1"/>
  <c r="Q264" i="5"/>
  <c r="P264" i="5"/>
  <c r="R264" i="5" s="1"/>
  <c r="J4817" i="3" s="1"/>
  <c r="F264" i="5"/>
  <c r="Q263" i="5"/>
  <c r="P263" i="5"/>
  <c r="F263" i="5"/>
  <c r="R263" i="5" s="1"/>
  <c r="J4806" i="3" s="1"/>
  <c r="Q262" i="5"/>
  <c r="P262" i="5"/>
  <c r="R262" i="5" s="1"/>
  <c r="J4796" i="3" s="1"/>
  <c r="F262" i="5"/>
  <c r="R261" i="5"/>
  <c r="F261" i="5"/>
  <c r="F260" i="5"/>
  <c r="R260" i="5" s="1"/>
  <c r="J4786" i="3" s="1"/>
  <c r="F259" i="5"/>
  <c r="R259" i="5" s="1"/>
  <c r="J4778" i="3" s="1"/>
  <c r="R258" i="5"/>
  <c r="N258" i="5"/>
  <c r="G258" i="5"/>
  <c r="F258" i="5"/>
  <c r="N257" i="5"/>
  <c r="F257" i="5"/>
  <c r="R257" i="5" s="1"/>
  <c r="J4737" i="3" s="1"/>
  <c r="N256" i="5"/>
  <c r="R256" i="5" s="1"/>
  <c r="J4727" i="3" s="1"/>
  <c r="F256" i="5"/>
  <c r="R255" i="5"/>
  <c r="F255" i="5"/>
  <c r="Q254" i="5"/>
  <c r="P254" i="5"/>
  <c r="G254" i="5"/>
  <c r="F254" i="5"/>
  <c r="R254" i="5" s="1"/>
  <c r="J4711" i="3" s="1"/>
  <c r="Q253" i="5"/>
  <c r="P253" i="5"/>
  <c r="N253" i="5"/>
  <c r="J253" i="5"/>
  <c r="H253" i="5"/>
  <c r="G253" i="5"/>
  <c r="F253" i="5"/>
  <c r="R253" i="5" s="1"/>
  <c r="J4689" i="3" s="1"/>
  <c r="R252" i="5"/>
  <c r="Q252" i="5"/>
  <c r="P252" i="5"/>
  <c r="F252" i="5"/>
  <c r="Q251" i="5"/>
  <c r="P251" i="5"/>
  <c r="F251" i="5"/>
  <c r="R251" i="5" s="1"/>
  <c r="J4654" i="3" s="1"/>
  <c r="R250" i="5"/>
  <c r="Q250" i="5"/>
  <c r="P250" i="5"/>
  <c r="F250" i="5"/>
  <c r="R249" i="5"/>
  <c r="F249" i="5"/>
  <c r="F248" i="5"/>
  <c r="R248" i="5" s="1"/>
  <c r="J4575" i="3" s="1"/>
  <c r="R247" i="5"/>
  <c r="Q247" i="5"/>
  <c r="P247" i="5"/>
  <c r="F247" i="5"/>
  <c r="Q246" i="5"/>
  <c r="P246" i="5"/>
  <c r="F246" i="5"/>
  <c r="R246" i="5" s="1"/>
  <c r="J4552" i="3" s="1"/>
  <c r="Q245" i="5"/>
  <c r="P245" i="5"/>
  <c r="G245" i="5"/>
  <c r="F245" i="5"/>
  <c r="R245" i="5" s="1"/>
  <c r="Q244" i="5"/>
  <c r="P244" i="5"/>
  <c r="R244" i="5" s="1"/>
  <c r="J4544" i="3" s="1"/>
  <c r="G244" i="5"/>
  <c r="F244" i="5"/>
  <c r="Q243" i="5"/>
  <c r="P243" i="5"/>
  <c r="F243" i="5"/>
  <c r="R243" i="5" s="1"/>
  <c r="J4534" i="3" s="1"/>
  <c r="Q242" i="5"/>
  <c r="R242" i="5" s="1"/>
  <c r="J4503" i="3" s="1"/>
  <c r="P242" i="5"/>
  <c r="F242" i="5"/>
  <c r="Q241" i="5"/>
  <c r="P241" i="5"/>
  <c r="F241" i="5"/>
  <c r="R241" i="5" s="1"/>
  <c r="J4482" i="3" s="1"/>
  <c r="F240" i="5"/>
  <c r="R240" i="5" s="1"/>
  <c r="J4464" i="3" s="1"/>
  <c r="Q239" i="5"/>
  <c r="P239" i="5"/>
  <c r="G239" i="5"/>
  <c r="F239" i="5"/>
  <c r="R239" i="5" s="1"/>
  <c r="J4446" i="3" s="1"/>
  <c r="F238" i="5"/>
  <c r="R238" i="5" s="1"/>
  <c r="J4435" i="3" s="1"/>
  <c r="R237" i="5"/>
  <c r="Q237" i="5"/>
  <c r="P237" i="5"/>
  <c r="G237" i="5"/>
  <c r="F237" i="5"/>
  <c r="Q236" i="5"/>
  <c r="P236" i="5"/>
  <c r="G236" i="5"/>
  <c r="R236" i="5" s="1"/>
  <c r="J4401" i="3" s="1"/>
  <c r="F236" i="5"/>
  <c r="Q235" i="5"/>
  <c r="P235" i="5"/>
  <c r="G235" i="5"/>
  <c r="F235" i="5"/>
  <c r="R235" i="5" s="1"/>
  <c r="J4382" i="3" s="1"/>
  <c r="Q234" i="5"/>
  <c r="R234" i="5" s="1"/>
  <c r="P234" i="5"/>
  <c r="G234" i="5"/>
  <c r="F234" i="5"/>
  <c r="Q233" i="5"/>
  <c r="P233" i="5"/>
  <c r="F233" i="5"/>
  <c r="R233" i="5" s="1"/>
  <c r="J4340" i="3" s="1"/>
  <c r="R232" i="5"/>
  <c r="Q232" i="5"/>
  <c r="P232" i="5"/>
  <c r="F232" i="5"/>
  <c r="Q231" i="5"/>
  <c r="P231" i="5"/>
  <c r="F231" i="5"/>
  <c r="R231" i="5" s="1"/>
  <c r="R230" i="5"/>
  <c r="Q230" i="5"/>
  <c r="P230" i="5"/>
  <c r="F230" i="5"/>
  <c r="Q229" i="5"/>
  <c r="P229" i="5"/>
  <c r="G229" i="5"/>
  <c r="F229" i="5"/>
  <c r="R229" i="5" s="1"/>
  <c r="R228" i="5"/>
  <c r="F228" i="5"/>
  <c r="Q227" i="5"/>
  <c r="P227" i="5"/>
  <c r="F227" i="5"/>
  <c r="R227" i="5" s="1"/>
  <c r="Q226" i="5"/>
  <c r="R226" i="5" s="1"/>
  <c r="J4236" i="3" s="1"/>
  <c r="P226" i="5"/>
  <c r="G226" i="5"/>
  <c r="F226" i="5"/>
  <c r="Q225" i="5"/>
  <c r="P225" i="5"/>
  <c r="G225" i="5"/>
  <c r="F225" i="5"/>
  <c r="R225" i="5" s="1"/>
  <c r="Q224" i="5"/>
  <c r="P224" i="5"/>
  <c r="G224" i="5"/>
  <c r="F224" i="5"/>
  <c r="R224" i="5" s="1"/>
  <c r="Q223" i="5"/>
  <c r="P223" i="5"/>
  <c r="R223" i="5" s="1"/>
  <c r="G223" i="5"/>
  <c r="F223" i="5"/>
  <c r="G222" i="5"/>
  <c r="F222" i="5"/>
  <c r="R222" i="5" s="1"/>
  <c r="J4199" i="3" s="1"/>
  <c r="Q221" i="5"/>
  <c r="P221" i="5"/>
  <c r="R221" i="5" s="1"/>
  <c r="F221" i="5"/>
  <c r="Q220" i="5"/>
  <c r="P220" i="5"/>
  <c r="F220" i="5"/>
  <c r="R220" i="5" s="1"/>
  <c r="Q219" i="5"/>
  <c r="P219" i="5"/>
  <c r="R219" i="5" s="1"/>
  <c r="F219" i="5"/>
  <c r="Q218" i="5"/>
  <c r="P218" i="5"/>
  <c r="G218" i="5"/>
  <c r="F218" i="5"/>
  <c r="R218" i="5" s="1"/>
  <c r="J4138" i="3" s="1"/>
  <c r="Q217" i="5"/>
  <c r="R217" i="5" s="1"/>
  <c r="J4130" i="3" s="1"/>
  <c r="P217" i="5"/>
  <c r="G217" i="5"/>
  <c r="F217" i="5"/>
  <c r="Q216" i="5"/>
  <c r="P216" i="5"/>
  <c r="G216" i="5"/>
  <c r="F216" i="5"/>
  <c r="R216" i="5" s="1"/>
  <c r="R215" i="5"/>
  <c r="Q215" i="5"/>
  <c r="P215" i="5"/>
  <c r="F215" i="5"/>
  <c r="Q214" i="5"/>
  <c r="P214" i="5"/>
  <c r="F214" i="5"/>
  <c r="R214" i="5" s="1"/>
  <c r="R213" i="5"/>
  <c r="Q213" i="5"/>
  <c r="P213" i="5"/>
  <c r="F213" i="5"/>
  <c r="Q212" i="5"/>
  <c r="P212" i="5"/>
  <c r="F212" i="5"/>
  <c r="R212" i="5" s="1"/>
  <c r="R211" i="5"/>
  <c r="Q211" i="5"/>
  <c r="P211" i="5"/>
  <c r="F211" i="5"/>
  <c r="Q210" i="5"/>
  <c r="P210" i="5"/>
  <c r="F210" i="5"/>
  <c r="R210" i="5" s="1"/>
  <c r="R209" i="5"/>
  <c r="Q209" i="5"/>
  <c r="P209" i="5"/>
  <c r="F209" i="5"/>
  <c r="Q208" i="5"/>
  <c r="P208" i="5"/>
  <c r="F208" i="5"/>
  <c r="R208" i="5" s="1"/>
  <c r="Q207" i="5"/>
  <c r="P207" i="5"/>
  <c r="G207" i="5"/>
  <c r="F207" i="5"/>
  <c r="R207" i="5" s="1"/>
  <c r="Q206" i="5"/>
  <c r="P206" i="5"/>
  <c r="R206" i="5" s="1"/>
  <c r="G206" i="5"/>
  <c r="F206" i="5"/>
  <c r="Q205" i="5"/>
  <c r="P205" i="5"/>
  <c r="G205" i="5"/>
  <c r="F205" i="5"/>
  <c r="R205" i="5" s="1"/>
  <c r="R204" i="5"/>
  <c r="Q204" i="5"/>
  <c r="P204" i="5"/>
  <c r="F204" i="5"/>
  <c r="Q203" i="5"/>
  <c r="P203" i="5"/>
  <c r="G203" i="5"/>
  <c r="F203" i="5"/>
  <c r="R203" i="5" s="1"/>
  <c r="Q202" i="5"/>
  <c r="P202" i="5"/>
  <c r="O202" i="5"/>
  <c r="N202" i="5"/>
  <c r="M202" i="5"/>
  <c r="L202" i="5"/>
  <c r="K202" i="5"/>
  <c r="J202" i="5"/>
  <c r="I202" i="5"/>
  <c r="H202" i="5"/>
  <c r="G202" i="5"/>
  <c r="F202" i="5"/>
  <c r="E202" i="5"/>
  <c r="R202" i="5" s="1"/>
  <c r="G201" i="5"/>
  <c r="R201" i="5" s="1"/>
  <c r="F201" i="5"/>
  <c r="R200" i="5"/>
  <c r="G200" i="5"/>
  <c r="F200" i="5"/>
  <c r="G199" i="5"/>
  <c r="F199" i="5"/>
  <c r="R199" i="5" s="1"/>
  <c r="R198" i="5"/>
  <c r="F198" i="5"/>
  <c r="Q197" i="5"/>
  <c r="P197" i="5"/>
  <c r="G197" i="5"/>
  <c r="F197" i="5"/>
  <c r="R197" i="5" s="1"/>
  <c r="G196" i="5"/>
  <c r="R196" i="5" s="1"/>
  <c r="F196" i="5"/>
  <c r="R195" i="5"/>
  <c r="F195" i="5"/>
  <c r="Q194" i="5"/>
  <c r="P194" i="5"/>
  <c r="G194" i="5"/>
  <c r="F194" i="5"/>
  <c r="R194" i="5" s="1"/>
  <c r="R193" i="5"/>
  <c r="F193" i="5"/>
  <c r="F192" i="5"/>
  <c r="R192" i="5" s="1"/>
  <c r="Q191" i="5"/>
  <c r="P191" i="5"/>
  <c r="F191" i="5"/>
  <c r="R191" i="5" s="1"/>
  <c r="Q190" i="5"/>
  <c r="P190" i="5"/>
  <c r="G190" i="5"/>
  <c r="F190" i="5"/>
  <c r="R190" i="5" s="1"/>
  <c r="Q189" i="5"/>
  <c r="P189" i="5"/>
  <c r="G189" i="5"/>
  <c r="R189" i="5" s="1"/>
  <c r="F189" i="5"/>
  <c r="Q188" i="5"/>
  <c r="P188" i="5"/>
  <c r="N188" i="5"/>
  <c r="L188" i="5"/>
  <c r="G188" i="5"/>
  <c r="F188" i="5"/>
  <c r="R188" i="5" s="1"/>
  <c r="Q187" i="5"/>
  <c r="P187" i="5"/>
  <c r="O187" i="5"/>
  <c r="N187" i="5"/>
  <c r="M187" i="5"/>
  <c r="L187" i="5"/>
  <c r="K187" i="5"/>
  <c r="J187" i="5"/>
  <c r="I187" i="5"/>
  <c r="H187" i="5"/>
  <c r="G187" i="5"/>
  <c r="F187" i="5"/>
  <c r="E187" i="5"/>
  <c r="R187" i="5" s="1"/>
  <c r="R186" i="5"/>
  <c r="Q186" i="5"/>
  <c r="P186" i="5"/>
  <c r="N186" i="5"/>
  <c r="L186" i="5"/>
  <c r="G186" i="5"/>
  <c r="F186" i="5"/>
  <c r="F185" i="5"/>
  <c r="R185" i="5" s="1"/>
  <c r="R184" i="5"/>
  <c r="F184" i="5"/>
  <c r="F183" i="5"/>
  <c r="R183" i="5" s="1"/>
  <c r="J182" i="5"/>
  <c r="I182" i="5"/>
  <c r="H182" i="5"/>
  <c r="R182" i="5" s="1"/>
  <c r="F182" i="5"/>
  <c r="Q181" i="5"/>
  <c r="P181" i="5"/>
  <c r="N181" i="5"/>
  <c r="J181" i="5"/>
  <c r="G181" i="5"/>
  <c r="F181" i="5"/>
  <c r="R181" i="5" s="1"/>
  <c r="Q179" i="5"/>
  <c r="P179" i="5"/>
  <c r="O179" i="5"/>
  <c r="N179" i="5"/>
  <c r="M179" i="5"/>
  <c r="K179" i="5"/>
  <c r="J179" i="5"/>
  <c r="I179" i="5"/>
  <c r="H179" i="5"/>
  <c r="G179" i="5"/>
  <c r="F179" i="5"/>
  <c r="E179" i="5"/>
  <c r="R179" i="5" s="1"/>
  <c r="Q178" i="5"/>
  <c r="P178" i="5"/>
  <c r="O178" i="5"/>
  <c r="N178" i="5"/>
  <c r="L178" i="5"/>
  <c r="J178" i="5"/>
  <c r="I178" i="5"/>
  <c r="H178" i="5"/>
  <c r="G178" i="5"/>
  <c r="F178" i="5"/>
  <c r="R178" i="5" s="1"/>
  <c r="Q177" i="5"/>
  <c r="P177" i="5"/>
  <c r="O177" i="5"/>
  <c r="N177" i="5"/>
  <c r="J177" i="5"/>
  <c r="I177" i="5"/>
  <c r="H177" i="5"/>
  <c r="G177" i="5"/>
  <c r="R177" i="5" s="1"/>
  <c r="F177" i="5"/>
  <c r="Q176" i="5"/>
  <c r="P176" i="5"/>
  <c r="O176" i="5"/>
  <c r="N176" i="5"/>
  <c r="M176" i="5"/>
  <c r="L176" i="5"/>
  <c r="J176" i="5"/>
  <c r="I176" i="5"/>
  <c r="H176" i="5"/>
  <c r="G176" i="5"/>
  <c r="F176" i="5"/>
  <c r="E176" i="5"/>
  <c r="R176" i="5" s="1"/>
  <c r="Q175" i="5"/>
  <c r="P175" i="5"/>
  <c r="O175" i="5"/>
  <c r="N175" i="5"/>
  <c r="M175" i="5"/>
  <c r="L175" i="5"/>
  <c r="K175" i="5"/>
  <c r="J175" i="5"/>
  <c r="R175" i="5" s="1"/>
  <c r="I175" i="5"/>
  <c r="H175" i="5"/>
  <c r="G175" i="5"/>
  <c r="F175" i="5"/>
  <c r="E175" i="5"/>
  <c r="Q174" i="5"/>
  <c r="P174" i="5"/>
  <c r="O174" i="5"/>
  <c r="N174" i="5"/>
  <c r="M174" i="5"/>
  <c r="J174" i="5"/>
  <c r="I174" i="5"/>
  <c r="H174" i="5"/>
  <c r="G174" i="5"/>
  <c r="F174" i="5"/>
  <c r="E174" i="5"/>
  <c r="R174" i="5" s="1"/>
  <c r="O173" i="5"/>
  <c r="N173" i="5"/>
  <c r="M173" i="5"/>
  <c r="L173" i="5"/>
  <c r="K173" i="5"/>
  <c r="J173" i="5"/>
  <c r="I173" i="5"/>
  <c r="H173" i="5"/>
  <c r="G173" i="5"/>
  <c r="F173" i="5"/>
  <c r="E173" i="5"/>
  <c r="R173" i="5" s="1"/>
  <c r="Q172" i="5"/>
  <c r="P172" i="5"/>
  <c r="O172" i="5"/>
  <c r="N172" i="5"/>
  <c r="M172" i="5"/>
  <c r="L172" i="5"/>
  <c r="K172" i="5"/>
  <c r="J172" i="5"/>
  <c r="I172" i="5"/>
  <c r="H172" i="5"/>
  <c r="G172" i="5"/>
  <c r="R172" i="5" s="1"/>
  <c r="F172" i="5"/>
  <c r="E172" i="5"/>
  <c r="H171" i="5"/>
  <c r="F171" i="5"/>
  <c r="R171" i="5" s="1"/>
  <c r="F170" i="5"/>
  <c r="R170" i="5" s="1"/>
  <c r="R169" i="5"/>
  <c r="F169" i="5"/>
  <c r="Q168" i="5"/>
  <c r="P168" i="5"/>
  <c r="O168" i="5"/>
  <c r="N168" i="5"/>
  <c r="M168" i="5"/>
  <c r="L168" i="5"/>
  <c r="K168" i="5"/>
  <c r="J168" i="5"/>
  <c r="I168" i="5"/>
  <c r="H168" i="5"/>
  <c r="G168" i="5"/>
  <c r="F168" i="5"/>
  <c r="E168" i="5"/>
  <c r="R168" i="5" s="1"/>
  <c r="N167" i="5"/>
  <c r="L167" i="5"/>
  <c r="F167" i="5"/>
  <c r="E167" i="5"/>
  <c r="R167" i="5" s="1"/>
  <c r="F166" i="5"/>
  <c r="R166" i="5" s="1"/>
  <c r="R165" i="5"/>
  <c r="F165" i="5"/>
  <c r="R164" i="5"/>
  <c r="F164" i="5"/>
  <c r="Q163" i="5"/>
  <c r="P163" i="5"/>
  <c r="O163" i="5"/>
  <c r="N163" i="5"/>
  <c r="M163" i="5"/>
  <c r="L163" i="5"/>
  <c r="K163" i="5"/>
  <c r="J163" i="5"/>
  <c r="I163" i="5"/>
  <c r="H163" i="5"/>
  <c r="G163" i="5"/>
  <c r="F163" i="5"/>
  <c r="E163" i="5"/>
  <c r="R163" i="5" s="1"/>
  <c r="Q162" i="5"/>
  <c r="P162" i="5"/>
  <c r="N162" i="5"/>
  <c r="M162" i="5"/>
  <c r="L162" i="5"/>
  <c r="K162" i="5"/>
  <c r="J162" i="5"/>
  <c r="I162" i="5"/>
  <c r="H162" i="5"/>
  <c r="G162" i="5"/>
  <c r="F162" i="5"/>
  <c r="E162" i="5"/>
  <c r="R162" i="5" s="1"/>
  <c r="F161" i="5"/>
  <c r="R161" i="5" s="1"/>
  <c r="Q160" i="5"/>
  <c r="P160" i="5"/>
  <c r="O160" i="5"/>
  <c r="N160" i="5"/>
  <c r="M160" i="5"/>
  <c r="L160" i="5"/>
  <c r="K160" i="5"/>
  <c r="J160" i="5"/>
  <c r="R160" i="5" s="1"/>
  <c r="I160" i="5"/>
  <c r="H160" i="5"/>
  <c r="G160" i="5"/>
  <c r="F160" i="5"/>
  <c r="E160" i="5"/>
  <c r="Q159" i="5"/>
  <c r="P159" i="5"/>
  <c r="O159" i="5"/>
  <c r="N159" i="5"/>
  <c r="M159" i="5"/>
  <c r="L159" i="5"/>
  <c r="J159" i="5"/>
  <c r="I159" i="5"/>
  <c r="H159" i="5"/>
  <c r="R159" i="5" s="1"/>
  <c r="G159" i="5"/>
  <c r="F159" i="5"/>
  <c r="E159" i="5"/>
  <c r="Q158" i="5"/>
  <c r="P158" i="5"/>
  <c r="N158" i="5"/>
  <c r="L158" i="5"/>
  <c r="F158" i="5"/>
  <c r="R158" i="5" s="1"/>
  <c r="Q157" i="5"/>
  <c r="P157" i="5"/>
  <c r="O157" i="5"/>
  <c r="N157" i="5"/>
  <c r="M157" i="5"/>
  <c r="K157" i="5"/>
  <c r="J157" i="5"/>
  <c r="I157" i="5"/>
  <c r="H157" i="5"/>
  <c r="G157" i="5"/>
  <c r="F157" i="5"/>
  <c r="E157" i="5"/>
  <c r="R157" i="5" s="1"/>
  <c r="Q156" i="5"/>
  <c r="P156" i="5"/>
  <c r="N156" i="5"/>
  <c r="M156" i="5"/>
  <c r="L156" i="5"/>
  <c r="K156" i="5"/>
  <c r="J156" i="5"/>
  <c r="I156" i="5"/>
  <c r="H156" i="5"/>
  <c r="R156" i="5" s="1"/>
  <c r="G156" i="5"/>
  <c r="F156" i="5"/>
  <c r="Q155" i="5"/>
  <c r="P155" i="5"/>
  <c r="N155" i="5"/>
  <c r="J155" i="5"/>
  <c r="I155" i="5"/>
  <c r="H155" i="5"/>
  <c r="G155" i="5"/>
  <c r="F155" i="5"/>
  <c r="R155" i="5" s="1"/>
  <c r="Q154" i="5"/>
  <c r="P154" i="5"/>
  <c r="O154" i="5"/>
  <c r="N154" i="5"/>
  <c r="M154" i="5"/>
  <c r="L154" i="5"/>
  <c r="K154" i="5"/>
  <c r="J154" i="5"/>
  <c r="I154" i="5"/>
  <c r="H154" i="5"/>
  <c r="G154" i="5"/>
  <c r="F154" i="5"/>
  <c r="E154" i="5"/>
  <c r="R154" i="5" s="1"/>
  <c r="Q153" i="5"/>
  <c r="P153" i="5"/>
  <c r="N153" i="5"/>
  <c r="M153" i="5"/>
  <c r="L153" i="5"/>
  <c r="F153" i="5"/>
  <c r="R153" i="5" s="1"/>
  <c r="Q152" i="5"/>
  <c r="P152" i="5"/>
  <c r="N152" i="5"/>
  <c r="J152" i="5"/>
  <c r="I152" i="5"/>
  <c r="H152" i="5"/>
  <c r="F152" i="5"/>
  <c r="R152" i="5" s="1"/>
  <c r="R151" i="5"/>
  <c r="N151" i="5"/>
  <c r="J151" i="5"/>
  <c r="F151" i="5"/>
  <c r="Q150" i="5"/>
  <c r="P150" i="5"/>
  <c r="O150" i="5"/>
  <c r="N150" i="5"/>
  <c r="M150" i="5"/>
  <c r="L150" i="5"/>
  <c r="K150" i="5"/>
  <c r="J150" i="5"/>
  <c r="I150" i="5"/>
  <c r="H150" i="5"/>
  <c r="G150" i="5"/>
  <c r="F150" i="5"/>
  <c r="R150" i="5" s="1"/>
  <c r="E150" i="5"/>
  <c r="Q149" i="5"/>
  <c r="P149" i="5"/>
  <c r="O149" i="5"/>
  <c r="N149" i="5"/>
  <c r="M149" i="5"/>
  <c r="L149" i="5"/>
  <c r="K149" i="5"/>
  <c r="J149" i="5"/>
  <c r="G149" i="5"/>
  <c r="F149" i="5"/>
  <c r="E149" i="5"/>
  <c r="R149" i="5" s="1"/>
  <c r="F148" i="5"/>
  <c r="R148" i="5" s="1"/>
  <c r="Q147" i="5"/>
  <c r="P147" i="5"/>
  <c r="N147" i="5"/>
  <c r="M147" i="5"/>
  <c r="L147" i="5"/>
  <c r="J147" i="5"/>
  <c r="I147" i="5"/>
  <c r="H147" i="5"/>
  <c r="R147" i="5" s="1"/>
  <c r="G147" i="5"/>
  <c r="F147" i="5"/>
  <c r="Q146" i="5"/>
  <c r="P146" i="5"/>
  <c r="N146" i="5"/>
  <c r="M146" i="5"/>
  <c r="L146" i="5"/>
  <c r="J146" i="5"/>
  <c r="I146" i="5"/>
  <c r="H146" i="5"/>
  <c r="G146" i="5"/>
  <c r="F146" i="5"/>
  <c r="R146" i="5" s="1"/>
  <c r="Q145" i="5"/>
  <c r="P145" i="5"/>
  <c r="O145" i="5"/>
  <c r="N145" i="5"/>
  <c r="M145" i="5"/>
  <c r="L145" i="5"/>
  <c r="K145" i="5"/>
  <c r="J145" i="5"/>
  <c r="I145" i="5"/>
  <c r="R145" i="5" s="1"/>
  <c r="H145" i="5"/>
  <c r="G145" i="5"/>
  <c r="F145" i="5"/>
  <c r="E145" i="5"/>
  <c r="Q144" i="5"/>
  <c r="P144" i="5"/>
  <c r="O144" i="5"/>
  <c r="N144" i="5"/>
  <c r="M144" i="5"/>
  <c r="L144" i="5"/>
  <c r="K144" i="5"/>
  <c r="J144" i="5"/>
  <c r="I144" i="5"/>
  <c r="H144" i="5"/>
  <c r="G144" i="5"/>
  <c r="F144" i="5"/>
  <c r="R144" i="5" s="1"/>
  <c r="E144" i="5"/>
  <c r="Q143" i="5"/>
  <c r="P143" i="5"/>
  <c r="O143" i="5"/>
  <c r="N143" i="5"/>
  <c r="M143" i="5"/>
  <c r="L143" i="5"/>
  <c r="K143" i="5"/>
  <c r="J143" i="5"/>
  <c r="I143" i="5"/>
  <c r="H143" i="5"/>
  <c r="G143" i="5"/>
  <c r="F143" i="5"/>
  <c r="E143" i="5"/>
  <c r="R143" i="5" s="1"/>
  <c r="Q142" i="5"/>
  <c r="P142" i="5"/>
  <c r="O142" i="5"/>
  <c r="N142" i="5"/>
  <c r="M142" i="5"/>
  <c r="L142" i="5"/>
  <c r="K142" i="5"/>
  <c r="J142" i="5"/>
  <c r="R142" i="5" s="1"/>
  <c r="I142" i="5"/>
  <c r="H142" i="5"/>
  <c r="G142" i="5"/>
  <c r="F142" i="5"/>
  <c r="E142" i="5"/>
  <c r="Q141" i="5"/>
  <c r="P141" i="5"/>
  <c r="O141" i="5"/>
  <c r="N141" i="5"/>
  <c r="M141" i="5"/>
  <c r="L141" i="5"/>
  <c r="K141" i="5"/>
  <c r="J141" i="5"/>
  <c r="I141" i="5"/>
  <c r="R141" i="5" s="1"/>
  <c r="H141" i="5"/>
  <c r="G141" i="5"/>
  <c r="F141" i="5"/>
  <c r="E141" i="5"/>
  <c r="Q140" i="5"/>
  <c r="P140" i="5"/>
  <c r="O140" i="5"/>
  <c r="N140" i="5"/>
  <c r="M140" i="5"/>
  <c r="L140" i="5"/>
  <c r="K140" i="5"/>
  <c r="J140" i="5"/>
  <c r="I140" i="5"/>
  <c r="H140" i="5"/>
  <c r="G140" i="5"/>
  <c r="F140" i="5"/>
  <c r="R140" i="5" s="1"/>
  <c r="E140" i="5"/>
  <c r="R139" i="5"/>
  <c r="F139" i="5"/>
  <c r="Q138" i="5"/>
  <c r="P138" i="5"/>
  <c r="N138" i="5"/>
  <c r="L138" i="5"/>
  <c r="R138" i="5" s="1"/>
  <c r="K138" i="5"/>
  <c r="G138" i="5"/>
  <c r="F138" i="5"/>
  <c r="J137" i="5"/>
  <c r="H137" i="5"/>
  <c r="G137" i="5"/>
  <c r="F137" i="5"/>
  <c r="R137" i="5" s="1"/>
  <c r="Q136" i="5"/>
  <c r="P136" i="5"/>
  <c r="H136" i="5"/>
  <c r="F136" i="5"/>
  <c r="R136" i="5" s="1"/>
  <c r="Q135" i="5"/>
  <c r="R135" i="5" s="1"/>
  <c r="M135" i="5"/>
  <c r="G135" i="5"/>
  <c r="F135" i="5"/>
  <c r="E135" i="5"/>
  <c r="Q134" i="5"/>
  <c r="P134" i="5"/>
  <c r="O134" i="5"/>
  <c r="N134" i="5"/>
  <c r="M134" i="5"/>
  <c r="L134" i="5"/>
  <c r="K134" i="5"/>
  <c r="J134" i="5"/>
  <c r="I134" i="5"/>
  <c r="H134" i="5"/>
  <c r="G134" i="5"/>
  <c r="F134" i="5"/>
  <c r="R134" i="5" s="1"/>
  <c r="E134" i="5"/>
  <c r="Q133" i="5"/>
  <c r="P133" i="5"/>
  <c r="R133" i="5" s="1"/>
  <c r="F133" i="5"/>
  <c r="F132" i="5"/>
  <c r="R132" i="5" s="1"/>
  <c r="R131" i="5"/>
  <c r="F131" i="5"/>
  <c r="R130" i="5"/>
  <c r="F130" i="5"/>
  <c r="Q129" i="5"/>
  <c r="P129" i="5"/>
  <c r="F129" i="5"/>
  <c r="R129" i="5" s="1"/>
  <c r="F128" i="5"/>
  <c r="R128" i="5" s="1"/>
  <c r="J2853" i="3" s="1"/>
  <c r="F127" i="5"/>
  <c r="R127" i="5" s="1"/>
  <c r="J2844" i="3" s="1"/>
  <c r="R126" i="5"/>
  <c r="F126" i="5"/>
  <c r="Q124" i="5"/>
  <c r="P124" i="5"/>
  <c r="O124" i="5"/>
  <c r="J124" i="5"/>
  <c r="I124" i="5"/>
  <c r="H124" i="5"/>
  <c r="G124" i="5"/>
  <c r="F124" i="5"/>
  <c r="R124" i="5" s="1"/>
  <c r="R123" i="5"/>
  <c r="Q123" i="5"/>
  <c r="P123" i="5"/>
  <c r="G123" i="5"/>
  <c r="F123" i="5"/>
  <c r="Q122" i="5"/>
  <c r="P122" i="5"/>
  <c r="O122" i="5"/>
  <c r="N122" i="5"/>
  <c r="M122" i="5"/>
  <c r="L122" i="5"/>
  <c r="J122" i="5"/>
  <c r="I122" i="5"/>
  <c r="H122" i="5"/>
  <c r="G122" i="5"/>
  <c r="F122" i="5"/>
  <c r="E122" i="5"/>
  <c r="Q121" i="5"/>
  <c r="P121" i="5"/>
  <c r="O121" i="5"/>
  <c r="N121" i="5"/>
  <c r="M121" i="5"/>
  <c r="L121" i="5"/>
  <c r="K121" i="5"/>
  <c r="J121" i="5"/>
  <c r="I121" i="5"/>
  <c r="H121" i="5"/>
  <c r="G121" i="5"/>
  <c r="F121" i="5"/>
  <c r="E121" i="5"/>
  <c r="R121" i="5" s="1"/>
  <c r="Q120" i="5"/>
  <c r="P120" i="5"/>
  <c r="O120" i="5"/>
  <c r="N120" i="5"/>
  <c r="M120" i="5"/>
  <c r="L120" i="5"/>
  <c r="K120" i="5"/>
  <c r="J120" i="5"/>
  <c r="R120" i="5" s="1"/>
  <c r="I120" i="5"/>
  <c r="H120" i="5"/>
  <c r="G120" i="5"/>
  <c r="F120" i="5"/>
  <c r="E120" i="5"/>
  <c r="Q119" i="5"/>
  <c r="P119" i="5"/>
  <c r="O119" i="5"/>
  <c r="N119" i="5"/>
  <c r="M119" i="5"/>
  <c r="L119" i="5"/>
  <c r="K119" i="5"/>
  <c r="J119" i="5"/>
  <c r="I119" i="5"/>
  <c r="H119" i="5"/>
  <c r="G119" i="5"/>
  <c r="F119" i="5"/>
  <c r="E119" i="5"/>
  <c r="Q118" i="5"/>
  <c r="P118" i="5"/>
  <c r="F118" i="5"/>
  <c r="R118" i="5" s="1"/>
  <c r="Q117" i="5"/>
  <c r="P117" i="5"/>
  <c r="F117" i="5"/>
  <c r="R117" i="5" s="1"/>
  <c r="J2657" i="3" s="1"/>
  <c r="Q116" i="5"/>
  <c r="P116" i="5"/>
  <c r="N116" i="5"/>
  <c r="M116" i="5"/>
  <c r="J116" i="5"/>
  <c r="F116" i="5"/>
  <c r="R116" i="5" s="1"/>
  <c r="Q115" i="5"/>
  <c r="P115" i="5"/>
  <c r="R115" i="5" s="1"/>
  <c r="J2630" i="3" s="1"/>
  <c r="F115" i="5"/>
  <c r="Q114" i="5"/>
  <c r="R114" i="5" s="1"/>
  <c r="P114" i="5"/>
  <c r="J114" i="5"/>
  <c r="G114" i="5"/>
  <c r="F114" i="5"/>
  <c r="Q113" i="5"/>
  <c r="P113" i="5"/>
  <c r="N113" i="5"/>
  <c r="M113" i="5"/>
  <c r="J113" i="5"/>
  <c r="I113" i="5"/>
  <c r="H113" i="5"/>
  <c r="G113" i="5"/>
  <c r="F113" i="5"/>
  <c r="Q112" i="5"/>
  <c r="P112" i="5"/>
  <c r="N112" i="5"/>
  <c r="M112" i="5"/>
  <c r="J112" i="5"/>
  <c r="I112" i="5"/>
  <c r="H112" i="5"/>
  <c r="G112" i="5"/>
  <c r="F112" i="5"/>
  <c r="R112" i="5" s="1"/>
  <c r="Q111" i="5"/>
  <c r="P111" i="5"/>
  <c r="N111" i="5"/>
  <c r="M111" i="5"/>
  <c r="J111" i="5"/>
  <c r="I111" i="5"/>
  <c r="G111" i="5"/>
  <c r="F111" i="5"/>
  <c r="R111" i="5" s="1"/>
  <c r="J2530" i="3" s="1"/>
  <c r="Q110" i="5"/>
  <c r="P110" i="5"/>
  <c r="N110" i="5"/>
  <c r="M110" i="5"/>
  <c r="J110" i="5"/>
  <c r="I110" i="5"/>
  <c r="H110" i="5"/>
  <c r="G110" i="5"/>
  <c r="F110" i="5"/>
  <c r="R110" i="5" s="1"/>
  <c r="Q109" i="5"/>
  <c r="P109" i="5"/>
  <c r="F109" i="5"/>
  <c r="R109" i="5" s="1"/>
  <c r="R108" i="5"/>
  <c r="F108" i="5"/>
  <c r="Q107" i="5"/>
  <c r="P107" i="5"/>
  <c r="O107" i="5"/>
  <c r="N107" i="5"/>
  <c r="M107" i="5"/>
  <c r="J107" i="5"/>
  <c r="I107" i="5"/>
  <c r="H107" i="5"/>
  <c r="G107" i="5"/>
  <c r="F107" i="5"/>
  <c r="R106" i="5"/>
  <c r="F106" i="5"/>
  <c r="Q105" i="5"/>
  <c r="P105" i="5"/>
  <c r="O105" i="5"/>
  <c r="N105" i="5"/>
  <c r="M105" i="5"/>
  <c r="L105" i="5"/>
  <c r="K105" i="5"/>
  <c r="J105" i="5"/>
  <c r="I105" i="5"/>
  <c r="R105" i="5" s="1"/>
  <c r="H105" i="5"/>
  <c r="G105" i="5"/>
  <c r="F105" i="5"/>
  <c r="E105" i="5"/>
  <c r="Q104" i="5"/>
  <c r="P104" i="5"/>
  <c r="O104" i="5"/>
  <c r="N104" i="5"/>
  <c r="M104" i="5"/>
  <c r="L104" i="5"/>
  <c r="K104" i="5"/>
  <c r="J104" i="5"/>
  <c r="I104" i="5"/>
  <c r="H104" i="5"/>
  <c r="G104" i="5"/>
  <c r="F104" i="5"/>
  <c r="R104" i="5" s="1"/>
  <c r="E104" i="5"/>
  <c r="Q103" i="5"/>
  <c r="P103" i="5"/>
  <c r="O103" i="5"/>
  <c r="N103" i="5"/>
  <c r="M103" i="5"/>
  <c r="L103" i="5"/>
  <c r="K103" i="5"/>
  <c r="J103" i="5"/>
  <c r="I103" i="5"/>
  <c r="H103" i="5"/>
  <c r="F103" i="5"/>
  <c r="E103" i="5"/>
  <c r="R103" i="5" s="1"/>
  <c r="J2266" i="3" s="1"/>
  <c r="Q102" i="5"/>
  <c r="P102" i="5"/>
  <c r="O102" i="5"/>
  <c r="N102" i="5"/>
  <c r="M102" i="5"/>
  <c r="L102" i="5"/>
  <c r="K102" i="5"/>
  <c r="J102" i="5"/>
  <c r="R102" i="5" s="1"/>
  <c r="J2235" i="3" s="1"/>
  <c r="I102" i="5"/>
  <c r="H102" i="5"/>
  <c r="G102" i="5"/>
  <c r="F102" i="5"/>
  <c r="E102" i="5"/>
  <c r="Q101" i="5"/>
  <c r="P101" i="5"/>
  <c r="O101" i="5"/>
  <c r="N101" i="5"/>
  <c r="M101" i="5"/>
  <c r="L101" i="5"/>
  <c r="K101" i="5"/>
  <c r="J101" i="5"/>
  <c r="I101" i="5"/>
  <c r="H101" i="5"/>
  <c r="G101" i="5"/>
  <c r="F101" i="5"/>
  <c r="E101" i="5"/>
  <c r="Q100" i="5"/>
  <c r="P100" i="5"/>
  <c r="O100" i="5"/>
  <c r="N100" i="5"/>
  <c r="M100" i="5"/>
  <c r="L100" i="5"/>
  <c r="K100" i="5"/>
  <c r="J100" i="5"/>
  <c r="I100" i="5"/>
  <c r="H100" i="5"/>
  <c r="G100" i="5"/>
  <c r="F100" i="5"/>
  <c r="E100" i="5"/>
  <c r="R100" i="5" s="1"/>
  <c r="Q99" i="5"/>
  <c r="P99" i="5"/>
  <c r="O99" i="5"/>
  <c r="N99" i="5"/>
  <c r="M99" i="5"/>
  <c r="L99" i="5"/>
  <c r="K99" i="5"/>
  <c r="J99" i="5"/>
  <c r="I99" i="5"/>
  <c r="H99" i="5"/>
  <c r="G99" i="5"/>
  <c r="F99" i="5"/>
  <c r="E99" i="5"/>
  <c r="R99" i="5" s="1"/>
  <c r="Q98" i="5"/>
  <c r="P98" i="5"/>
  <c r="O98" i="5"/>
  <c r="N98" i="5"/>
  <c r="M98" i="5"/>
  <c r="L98" i="5"/>
  <c r="K98" i="5"/>
  <c r="J98" i="5"/>
  <c r="I98" i="5"/>
  <c r="H98" i="5"/>
  <c r="G98" i="5"/>
  <c r="F98" i="5"/>
  <c r="E98" i="5"/>
  <c r="Q97" i="5"/>
  <c r="P97" i="5"/>
  <c r="O97" i="5"/>
  <c r="N97" i="5"/>
  <c r="M97" i="5"/>
  <c r="L97" i="5"/>
  <c r="K97" i="5"/>
  <c r="J97" i="5"/>
  <c r="I97" i="5"/>
  <c r="H97" i="5"/>
  <c r="G97" i="5"/>
  <c r="F97" i="5"/>
  <c r="E97" i="5"/>
  <c r="Q96" i="5"/>
  <c r="P96" i="5"/>
  <c r="O96" i="5"/>
  <c r="N96" i="5"/>
  <c r="M96" i="5"/>
  <c r="L96" i="5"/>
  <c r="K96" i="5"/>
  <c r="J96" i="5"/>
  <c r="I96" i="5"/>
  <c r="H96" i="5"/>
  <c r="G96" i="5"/>
  <c r="F96" i="5"/>
  <c r="E96" i="5"/>
  <c r="Q95" i="5"/>
  <c r="P95" i="5"/>
  <c r="O95" i="5"/>
  <c r="N95" i="5"/>
  <c r="M95" i="5"/>
  <c r="L95" i="5"/>
  <c r="K95" i="5"/>
  <c r="J95" i="5"/>
  <c r="I95" i="5"/>
  <c r="H95" i="5"/>
  <c r="G95" i="5"/>
  <c r="F95" i="5"/>
  <c r="E95" i="5"/>
  <c r="R95" i="5" s="1"/>
  <c r="J2063" i="3" s="1"/>
  <c r="Q94" i="5"/>
  <c r="P94" i="5"/>
  <c r="O94" i="5"/>
  <c r="N94" i="5"/>
  <c r="M94" i="5"/>
  <c r="L94" i="5"/>
  <c r="K94" i="5"/>
  <c r="J94" i="5"/>
  <c r="R94" i="5" s="1"/>
  <c r="J2041" i="3" s="1"/>
  <c r="I94" i="5"/>
  <c r="H94" i="5"/>
  <c r="G94" i="5"/>
  <c r="F94" i="5"/>
  <c r="E94" i="5"/>
  <c r="Q93" i="5"/>
  <c r="P93" i="5"/>
  <c r="N93" i="5"/>
  <c r="G93" i="5"/>
  <c r="R93" i="5" s="1"/>
  <c r="F93" i="5"/>
  <c r="Q92" i="5"/>
  <c r="P92" i="5"/>
  <c r="O92" i="5"/>
  <c r="N92" i="5"/>
  <c r="M92" i="5"/>
  <c r="J92" i="5"/>
  <c r="I92" i="5"/>
  <c r="H92" i="5"/>
  <c r="G92" i="5"/>
  <c r="F92" i="5"/>
  <c r="R92" i="5" s="1"/>
  <c r="Q91" i="5"/>
  <c r="P91" i="5"/>
  <c r="O91" i="5"/>
  <c r="N91" i="5"/>
  <c r="M91" i="5"/>
  <c r="J91" i="5"/>
  <c r="I91" i="5"/>
  <c r="H91" i="5"/>
  <c r="G91" i="5"/>
  <c r="R91" i="5" s="1"/>
  <c r="F91" i="5"/>
  <c r="R90" i="5"/>
  <c r="Q90" i="5"/>
  <c r="P90" i="5"/>
  <c r="F90" i="5"/>
  <c r="Q89" i="5"/>
  <c r="P89" i="5"/>
  <c r="O89" i="5"/>
  <c r="N89" i="5"/>
  <c r="M89" i="5"/>
  <c r="J89" i="5"/>
  <c r="I89" i="5"/>
  <c r="H89" i="5"/>
  <c r="G89" i="5"/>
  <c r="F89" i="5"/>
  <c r="R89" i="5" s="1"/>
  <c r="Q87" i="5"/>
  <c r="P87" i="5"/>
  <c r="O87" i="5"/>
  <c r="N87" i="5"/>
  <c r="M87" i="5"/>
  <c r="J87" i="5"/>
  <c r="I87" i="5"/>
  <c r="H87" i="5"/>
  <c r="G87" i="5"/>
  <c r="R87" i="5" s="1"/>
  <c r="F87" i="5"/>
  <c r="Q86" i="5"/>
  <c r="P86" i="5"/>
  <c r="G86" i="5"/>
  <c r="F86" i="5"/>
  <c r="R86" i="5" s="1"/>
  <c r="Q85" i="5"/>
  <c r="P85" i="5"/>
  <c r="O85" i="5"/>
  <c r="N85" i="5"/>
  <c r="M85" i="5"/>
  <c r="J85" i="5"/>
  <c r="I85" i="5"/>
  <c r="H85" i="5"/>
  <c r="R85" i="5" s="1"/>
  <c r="G85" i="5"/>
  <c r="F85" i="5"/>
  <c r="Q84" i="5"/>
  <c r="P84" i="5"/>
  <c r="O84" i="5"/>
  <c r="N84" i="5"/>
  <c r="M84" i="5"/>
  <c r="J84" i="5"/>
  <c r="I84" i="5"/>
  <c r="H84" i="5"/>
  <c r="G84" i="5"/>
  <c r="F84" i="5"/>
  <c r="R84" i="5" s="1"/>
  <c r="Q83" i="5"/>
  <c r="P83" i="5"/>
  <c r="O83" i="5"/>
  <c r="N83" i="5"/>
  <c r="M83" i="5"/>
  <c r="J83" i="5"/>
  <c r="I83" i="5"/>
  <c r="H83" i="5"/>
  <c r="G83" i="5"/>
  <c r="F83" i="5"/>
  <c r="Q82" i="5"/>
  <c r="P82" i="5"/>
  <c r="O82" i="5"/>
  <c r="N82" i="5"/>
  <c r="M82" i="5"/>
  <c r="J82" i="5"/>
  <c r="I82" i="5"/>
  <c r="H82" i="5"/>
  <c r="R82" i="5" s="1"/>
  <c r="G82" i="5"/>
  <c r="F82" i="5"/>
  <c r="N81" i="5"/>
  <c r="G81" i="5"/>
  <c r="F81" i="5"/>
  <c r="R81" i="5" s="1"/>
  <c r="Q80" i="5"/>
  <c r="P80" i="5"/>
  <c r="O80" i="5"/>
  <c r="N80" i="5"/>
  <c r="M80" i="5"/>
  <c r="J80" i="5"/>
  <c r="G80" i="5"/>
  <c r="F80" i="5"/>
  <c r="R80" i="5" s="1"/>
  <c r="E80" i="5"/>
  <c r="G79" i="5"/>
  <c r="F79" i="5"/>
  <c r="R79" i="5" s="1"/>
  <c r="J1806" i="3" s="1"/>
  <c r="Q78" i="5"/>
  <c r="P78" i="5"/>
  <c r="O78" i="5"/>
  <c r="N78" i="5"/>
  <c r="M78" i="5"/>
  <c r="J78" i="5"/>
  <c r="G78" i="5"/>
  <c r="F78" i="5"/>
  <c r="R78" i="5" s="1"/>
  <c r="J1788" i="3" s="1"/>
  <c r="Q77" i="5"/>
  <c r="P77" i="5"/>
  <c r="O77" i="5"/>
  <c r="N77" i="5"/>
  <c r="M77" i="5"/>
  <c r="J77" i="5"/>
  <c r="G77" i="5"/>
  <c r="F77" i="5"/>
  <c r="R77" i="5" s="1"/>
  <c r="J1765" i="3" s="1"/>
  <c r="Q76" i="5"/>
  <c r="P76" i="5"/>
  <c r="O76" i="5"/>
  <c r="N76" i="5"/>
  <c r="M76" i="5"/>
  <c r="J76" i="5"/>
  <c r="G76" i="5"/>
  <c r="F76" i="5"/>
  <c r="R76" i="5" s="1"/>
  <c r="J1751" i="3" s="1"/>
  <c r="Q75" i="5"/>
  <c r="O75" i="5"/>
  <c r="N75" i="5"/>
  <c r="M75" i="5"/>
  <c r="J75" i="5"/>
  <c r="G75" i="5"/>
  <c r="F75" i="5"/>
  <c r="R75" i="5" s="1"/>
  <c r="Q74" i="5"/>
  <c r="O74" i="5"/>
  <c r="N74" i="5"/>
  <c r="M74" i="5"/>
  <c r="J74" i="5"/>
  <c r="I74" i="5"/>
  <c r="H74" i="5"/>
  <c r="G74" i="5"/>
  <c r="F74" i="5"/>
  <c r="Q73" i="5"/>
  <c r="P73" i="5"/>
  <c r="N73" i="5"/>
  <c r="J73" i="5"/>
  <c r="G73" i="5"/>
  <c r="F73" i="5"/>
  <c r="R73" i="5" s="1"/>
  <c r="Q72" i="5"/>
  <c r="P72" i="5"/>
  <c r="O72" i="5"/>
  <c r="N72" i="5"/>
  <c r="H72" i="5"/>
  <c r="G72" i="5"/>
  <c r="F72" i="5"/>
  <c r="R72" i="5" s="1"/>
  <c r="Q71" i="5"/>
  <c r="P71" i="5"/>
  <c r="O71" i="5"/>
  <c r="N71" i="5"/>
  <c r="M71" i="5"/>
  <c r="J71" i="5"/>
  <c r="I71" i="5"/>
  <c r="H71" i="5"/>
  <c r="G71" i="5"/>
  <c r="F71" i="5"/>
  <c r="Q70" i="5"/>
  <c r="P70" i="5"/>
  <c r="O70" i="5"/>
  <c r="N70" i="5"/>
  <c r="M70" i="5"/>
  <c r="J70" i="5"/>
  <c r="I70" i="5"/>
  <c r="H70" i="5"/>
  <c r="G70" i="5"/>
  <c r="F70" i="5"/>
  <c r="R70" i="5" s="1"/>
  <c r="Q69" i="5"/>
  <c r="P69" i="5"/>
  <c r="N69" i="5"/>
  <c r="G69" i="5"/>
  <c r="F69" i="5"/>
  <c r="R69" i="5" s="1"/>
  <c r="J1573" i="3" s="1"/>
  <c r="Q68" i="5"/>
  <c r="P68" i="5"/>
  <c r="O68" i="5"/>
  <c r="N68" i="5"/>
  <c r="M68" i="5"/>
  <c r="J68" i="5"/>
  <c r="I68" i="5"/>
  <c r="H68" i="5"/>
  <c r="G68" i="5"/>
  <c r="F68" i="5"/>
  <c r="R68" i="5" s="1"/>
  <c r="Q67" i="5"/>
  <c r="P67" i="5"/>
  <c r="O67" i="5"/>
  <c r="N67" i="5"/>
  <c r="M67" i="5"/>
  <c r="J67" i="5"/>
  <c r="I67" i="5"/>
  <c r="H67" i="5"/>
  <c r="G67" i="5"/>
  <c r="R67" i="5" s="1"/>
  <c r="F67" i="5"/>
  <c r="Q66" i="5"/>
  <c r="P66" i="5"/>
  <c r="O66" i="5"/>
  <c r="N66" i="5"/>
  <c r="M66" i="5"/>
  <c r="J66" i="5"/>
  <c r="I66" i="5"/>
  <c r="H66" i="5"/>
  <c r="G66" i="5"/>
  <c r="F66" i="5"/>
  <c r="R66" i="5" s="1"/>
  <c r="R65" i="5"/>
  <c r="R64" i="5"/>
  <c r="R63" i="5"/>
  <c r="R62" i="5"/>
  <c r="P62" i="5"/>
  <c r="P61" i="5"/>
  <c r="G61" i="5"/>
  <c r="F61" i="5"/>
  <c r="R61" i="5" s="1"/>
  <c r="G60" i="5"/>
  <c r="F60" i="5"/>
  <c r="R60" i="5" s="1"/>
  <c r="J1366" i="3" s="1"/>
  <c r="G59" i="5"/>
  <c r="F59" i="5"/>
  <c r="R59" i="5" s="1"/>
  <c r="P58" i="5"/>
  <c r="G58" i="5"/>
  <c r="F58" i="5"/>
  <c r="R58" i="5" s="1"/>
  <c r="G57" i="5"/>
  <c r="F57" i="5"/>
  <c r="R57" i="5" s="1"/>
  <c r="J1336" i="3" s="1"/>
  <c r="G56" i="5"/>
  <c r="F56" i="5"/>
  <c r="R56" i="5" s="1"/>
  <c r="G55" i="5"/>
  <c r="F55" i="5"/>
  <c r="R55" i="5" s="1"/>
  <c r="J1301" i="3" s="1"/>
  <c r="G54" i="5"/>
  <c r="F54" i="5"/>
  <c r="R54" i="5" s="1"/>
  <c r="G53" i="5"/>
  <c r="F53" i="5"/>
  <c r="R53" i="5" s="1"/>
  <c r="R52" i="5"/>
  <c r="G52" i="5"/>
  <c r="F52" i="5"/>
  <c r="P51" i="5"/>
  <c r="G51" i="5"/>
  <c r="F51" i="5"/>
  <c r="R51" i="5" s="1"/>
  <c r="R50" i="5"/>
  <c r="G50" i="5"/>
  <c r="F50" i="5"/>
  <c r="G49" i="5"/>
  <c r="F49" i="5"/>
  <c r="R49" i="5" s="1"/>
  <c r="G48" i="5"/>
  <c r="F48" i="5"/>
  <c r="R48" i="5" s="1"/>
  <c r="R47" i="5"/>
  <c r="P47" i="5"/>
  <c r="G47" i="5"/>
  <c r="F47" i="5"/>
  <c r="P46" i="5"/>
  <c r="G46" i="5"/>
  <c r="F46" i="5"/>
  <c r="R46" i="5" s="1"/>
  <c r="G45" i="5"/>
  <c r="F45" i="5"/>
  <c r="R45" i="5" s="1"/>
  <c r="J1116" i="3" s="1"/>
  <c r="G44" i="5"/>
  <c r="F44" i="5"/>
  <c r="R44" i="5" s="1"/>
  <c r="G43" i="5"/>
  <c r="F43" i="5"/>
  <c r="G42" i="5"/>
  <c r="F42" i="5"/>
  <c r="R42" i="5" s="1"/>
  <c r="J1087" i="3" s="1"/>
  <c r="G41" i="5"/>
  <c r="F41" i="5"/>
  <c r="R41" i="5" s="1"/>
  <c r="R40" i="5"/>
  <c r="G40" i="5"/>
  <c r="F40" i="5"/>
  <c r="G39" i="5"/>
  <c r="F39" i="5"/>
  <c r="R39" i="5" s="1"/>
  <c r="G38" i="5"/>
  <c r="F38" i="5"/>
  <c r="R38" i="5" s="1"/>
  <c r="R37" i="5"/>
  <c r="G37" i="5"/>
  <c r="F37" i="5"/>
  <c r="G36" i="5"/>
  <c r="F36" i="5"/>
  <c r="R36" i="5" s="1"/>
  <c r="G35" i="5"/>
  <c r="F35" i="5"/>
  <c r="R34" i="5"/>
  <c r="J962" i="3" s="1"/>
  <c r="G34" i="5"/>
  <c r="F34" i="5"/>
  <c r="G33" i="5"/>
  <c r="F33" i="5"/>
  <c r="R33" i="5" s="1"/>
  <c r="G32" i="5"/>
  <c r="F32" i="5"/>
  <c r="R32" i="5" s="1"/>
  <c r="J934" i="3" s="1"/>
  <c r="G31" i="5"/>
  <c r="F31" i="5"/>
  <c r="R31" i="5" s="1"/>
  <c r="G30" i="5"/>
  <c r="F30" i="5"/>
  <c r="R30" i="5" s="1"/>
  <c r="R29" i="5"/>
  <c r="G29" i="5"/>
  <c r="F29" i="5"/>
  <c r="G28" i="5"/>
  <c r="F28" i="5"/>
  <c r="R28" i="5" s="1"/>
  <c r="J887" i="3" s="1"/>
  <c r="G27" i="5"/>
  <c r="R27" i="5" s="1"/>
  <c r="F27" i="5"/>
  <c r="F26" i="5"/>
  <c r="R26" i="5" s="1"/>
  <c r="J863" i="3" s="1"/>
  <c r="Q25" i="5"/>
  <c r="P25" i="5"/>
  <c r="N25" i="5"/>
  <c r="L25" i="5"/>
  <c r="G25" i="5"/>
  <c r="F25" i="5"/>
  <c r="R25" i="5" s="1"/>
  <c r="F24" i="5"/>
  <c r="R24" i="5" s="1"/>
  <c r="J760" i="3" s="1"/>
  <c r="F22" i="5"/>
  <c r="R22" i="5" s="1"/>
  <c r="Q21" i="5"/>
  <c r="P21" i="5"/>
  <c r="O21" i="5"/>
  <c r="N21" i="5"/>
  <c r="J21" i="5"/>
  <c r="F21" i="5"/>
  <c r="Q20" i="5"/>
  <c r="P20" i="5"/>
  <c r="F20" i="5"/>
  <c r="R20" i="5" s="1"/>
  <c r="F19" i="5"/>
  <c r="R19" i="5" s="1"/>
  <c r="J712" i="3" s="1"/>
  <c r="Q18" i="5"/>
  <c r="P18" i="5"/>
  <c r="F18" i="5"/>
  <c r="R18" i="5" s="1"/>
  <c r="F17" i="5"/>
  <c r="R17" i="5" s="1"/>
  <c r="J638" i="3" s="1"/>
  <c r="Q16" i="5"/>
  <c r="P16" i="5"/>
  <c r="G16" i="5"/>
  <c r="F16" i="5"/>
  <c r="R16" i="5" s="1"/>
  <c r="J616" i="3" s="1"/>
  <c r="Q15" i="5"/>
  <c r="P15" i="5"/>
  <c r="O15" i="5"/>
  <c r="G15" i="5"/>
  <c r="F15" i="5"/>
  <c r="E15" i="5"/>
  <c r="Q14" i="5"/>
  <c r="P14" i="5"/>
  <c r="O14" i="5"/>
  <c r="N14" i="5"/>
  <c r="M14" i="5"/>
  <c r="L14" i="5"/>
  <c r="K14" i="5"/>
  <c r="J14" i="5"/>
  <c r="I14" i="5"/>
  <c r="G14" i="5"/>
  <c r="F14" i="5"/>
  <c r="E14" i="5"/>
  <c r="R14" i="5" s="1"/>
  <c r="Q13" i="5"/>
  <c r="P13" i="5"/>
  <c r="N13" i="5"/>
  <c r="M13" i="5"/>
  <c r="J13" i="5"/>
  <c r="I13" i="5"/>
  <c r="H13" i="5"/>
  <c r="G13" i="5"/>
  <c r="F13" i="5"/>
  <c r="E13" i="5"/>
  <c r="Q12" i="5"/>
  <c r="P12" i="5"/>
  <c r="O12" i="5"/>
  <c r="N12" i="5"/>
  <c r="M12" i="5"/>
  <c r="L12" i="5"/>
  <c r="K12" i="5"/>
  <c r="J12" i="5"/>
  <c r="I12" i="5"/>
  <c r="H12" i="5"/>
  <c r="G12" i="5"/>
  <c r="F12" i="5"/>
  <c r="R12" i="5" s="1"/>
  <c r="E12" i="5"/>
  <c r="Q11" i="5"/>
  <c r="P11" i="5"/>
  <c r="O11" i="5"/>
  <c r="N11" i="5"/>
  <c r="M11" i="5"/>
  <c r="L11" i="5"/>
  <c r="K11" i="5"/>
  <c r="J11" i="5"/>
  <c r="I11" i="5"/>
  <c r="H11" i="5"/>
  <c r="G11" i="5"/>
  <c r="F11" i="5"/>
  <c r="E11" i="5"/>
  <c r="R11" i="5" s="1"/>
  <c r="Q10" i="5"/>
  <c r="P10" i="5"/>
  <c r="O10" i="5"/>
  <c r="N10" i="5"/>
  <c r="M10" i="5"/>
  <c r="L10" i="5"/>
  <c r="K10" i="5"/>
  <c r="J10" i="5"/>
  <c r="I10" i="5"/>
  <c r="H10" i="5"/>
  <c r="G10" i="5"/>
  <c r="F10" i="5"/>
  <c r="E10" i="5"/>
  <c r="R10" i="5" s="1"/>
  <c r="F9" i="5"/>
  <c r="R9" i="5" s="1"/>
  <c r="J444" i="3" s="1"/>
  <c r="R8" i="5"/>
  <c r="F8" i="5"/>
  <c r="F7" i="5"/>
  <c r="R7" i="5" s="1"/>
  <c r="F6" i="5"/>
  <c r="R6" i="5" s="1"/>
  <c r="F5" i="5"/>
  <c r="R5" i="5" s="1"/>
  <c r="J346" i="3" s="1"/>
  <c r="F4" i="5"/>
  <c r="R4" i="5" s="1"/>
  <c r="J323" i="3" s="1"/>
  <c r="F19" i="4"/>
  <c r="F18" i="4"/>
  <c r="F17" i="4"/>
  <c r="F16" i="4"/>
  <c r="F15" i="4"/>
  <c r="F14" i="4"/>
  <c r="F13" i="4"/>
  <c r="F12" i="4"/>
  <c r="F11" i="4"/>
  <c r="F10" i="4"/>
  <c r="F9" i="4"/>
  <c r="F8" i="4"/>
  <c r="F7" i="4"/>
  <c r="F6" i="4"/>
  <c r="F5" i="4"/>
  <c r="F4" i="4"/>
  <c r="I4838" i="3"/>
  <c r="G4838" i="3"/>
  <c r="I4837" i="3"/>
  <c r="G4837" i="3"/>
  <c r="E4837" i="3"/>
  <c r="I4836" i="3"/>
  <c r="G4836" i="3"/>
  <c r="I4835" i="3"/>
  <c r="G4835" i="3"/>
  <c r="E4835" i="3"/>
  <c r="I4834" i="3"/>
  <c r="G4834" i="3"/>
  <c r="I4833" i="3"/>
  <c r="G4833" i="3"/>
  <c r="E4833" i="3"/>
  <c r="I4832" i="3"/>
  <c r="G4832" i="3"/>
  <c r="I4831" i="3"/>
  <c r="G4831" i="3"/>
  <c r="E4831" i="3"/>
  <c r="K4812" i="3"/>
  <c r="K4811" i="3"/>
  <c r="K4810" i="3"/>
  <c r="K4801" i="3"/>
  <c r="K4800" i="3"/>
  <c r="K4791" i="3"/>
  <c r="K4790" i="3"/>
  <c r="E4782" i="3"/>
  <c r="K4782" i="3" s="1"/>
  <c r="K4785" i="3" s="1"/>
  <c r="K4772" i="3"/>
  <c r="K4774" i="3" s="1"/>
  <c r="K4777" i="3" s="1"/>
  <c r="J4758" i="3"/>
  <c r="E4753" i="3"/>
  <c r="K4753" i="3" s="1"/>
  <c r="E4752" i="3"/>
  <c r="K4752" i="3" s="1"/>
  <c r="E4750" i="3"/>
  <c r="K4750" i="3" s="1"/>
  <c r="E4749" i="3"/>
  <c r="K4749" i="3" s="1"/>
  <c r="E4748" i="3"/>
  <c r="K4748" i="3" s="1"/>
  <c r="E4747" i="3"/>
  <c r="K4747" i="3" s="1"/>
  <c r="E4746" i="3"/>
  <c r="K4746" i="3" s="1"/>
  <c r="E4745" i="3"/>
  <c r="K4745" i="3" s="1"/>
  <c r="K4744" i="3"/>
  <c r="E4743" i="3"/>
  <c r="K4743" i="3" s="1"/>
  <c r="K4742" i="3"/>
  <c r="K4732" i="3"/>
  <c r="K4731" i="3"/>
  <c r="K4723" i="3"/>
  <c r="K4726" i="3" s="1"/>
  <c r="J4719" i="3"/>
  <c r="K4715" i="3"/>
  <c r="K4718" i="3" s="1"/>
  <c r="K4706" i="3"/>
  <c r="E4705" i="3"/>
  <c r="K4705" i="3" s="1"/>
  <c r="K4704" i="3"/>
  <c r="K4703" i="3"/>
  <c r="E4684" i="3"/>
  <c r="K4684" i="3" s="1"/>
  <c r="E4683" i="3"/>
  <c r="K4683" i="3" s="1"/>
  <c r="K4682" i="3"/>
  <c r="K4681" i="3"/>
  <c r="J4677" i="3"/>
  <c r="E4672" i="3"/>
  <c r="K4672" i="3" s="1"/>
  <c r="E4671" i="3"/>
  <c r="K4671" i="3" s="1"/>
  <c r="E4670" i="3"/>
  <c r="K4670" i="3" s="1"/>
  <c r="E4669" i="3"/>
  <c r="K4669" i="3" s="1"/>
  <c r="E4668" i="3"/>
  <c r="K4668" i="3" s="1"/>
  <c r="K4648" i="3"/>
  <c r="E4647" i="3"/>
  <c r="K4647" i="3" s="1"/>
  <c r="K4646" i="3"/>
  <c r="K4645" i="3"/>
  <c r="K4644" i="3"/>
  <c r="K4643" i="3"/>
  <c r="J4629" i="3"/>
  <c r="E4622" i="3"/>
  <c r="K4622" i="3" s="1"/>
  <c r="E4621" i="3"/>
  <c r="K4621" i="3" s="1"/>
  <c r="K4620" i="3"/>
  <c r="K4619" i="3"/>
  <c r="K4618" i="3"/>
  <c r="I4612" i="3"/>
  <c r="K4612" i="3" s="1"/>
  <c r="I4611" i="3"/>
  <c r="K4611" i="3" s="1"/>
  <c r="I4610" i="3"/>
  <c r="K4610" i="3" s="1"/>
  <c r="I4609" i="3"/>
  <c r="K4609" i="3" s="1"/>
  <c r="J4605" i="3"/>
  <c r="K4600" i="3"/>
  <c r="K4599" i="3"/>
  <c r="E4598" i="3"/>
  <c r="K4598" i="3" s="1"/>
  <c r="E4597" i="3"/>
  <c r="K4597" i="3" s="1"/>
  <c r="K4596" i="3"/>
  <c r="E4595" i="3"/>
  <c r="K4595" i="3" s="1"/>
  <c r="K4590" i="3"/>
  <c r="K4591" i="3" s="1"/>
  <c r="K4569" i="3"/>
  <c r="K4570" i="3" s="1"/>
  <c r="K4574" i="3" s="1"/>
  <c r="J4565" i="3"/>
  <c r="K4560" i="3"/>
  <c r="E4558" i="3"/>
  <c r="K4558" i="3" s="1"/>
  <c r="E4557" i="3"/>
  <c r="K4557" i="3" s="1"/>
  <c r="K4548" i="3"/>
  <c r="K4551" i="3" s="1"/>
  <c r="E4539" i="3"/>
  <c r="K4539" i="3" s="1"/>
  <c r="K4540" i="3" s="1"/>
  <c r="K4543" i="3" s="1"/>
  <c r="I4532" i="3"/>
  <c r="K4532" i="3" s="1"/>
  <c r="I4531" i="3"/>
  <c r="K4531" i="3" s="1"/>
  <c r="I4530" i="3"/>
  <c r="K4530" i="3" s="1"/>
  <c r="I4529" i="3"/>
  <c r="K4529" i="3" s="1"/>
  <c r="I4528" i="3"/>
  <c r="K4528" i="3" s="1"/>
  <c r="I4527" i="3"/>
  <c r="K4527" i="3" s="1"/>
  <c r="I4526" i="3"/>
  <c r="E4526" i="3"/>
  <c r="I4525" i="3"/>
  <c r="K4525" i="3" s="1"/>
  <c r="I4524" i="3"/>
  <c r="K4524" i="3" s="1"/>
  <c r="I4523" i="3"/>
  <c r="K4523" i="3" s="1"/>
  <c r="K4517" i="3"/>
  <c r="K4518" i="3" s="1"/>
  <c r="K4498" i="3"/>
  <c r="K4497" i="3"/>
  <c r="K4496" i="3"/>
  <c r="E4478" i="3"/>
  <c r="K4478" i="3" s="1"/>
  <c r="K4481" i="3" s="1"/>
  <c r="E4460" i="3"/>
  <c r="K4460" i="3" s="1"/>
  <c r="K4463" i="3" s="1"/>
  <c r="K4441" i="3"/>
  <c r="K4440" i="3"/>
  <c r="K4439" i="3"/>
  <c r="K4430" i="3"/>
  <c r="K4429" i="3"/>
  <c r="K4428" i="3"/>
  <c r="J4414" i="3"/>
  <c r="K4409" i="3"/>
  <c r="K4408" i="3"/>
  <c r="K4407" i="3"/>
  <c r="K4406" i="3"/>
  <c r="K4405" i="3"/>
  <c r="K4397" i="3"/>
  <c r="K4400" i="3" s="1"/>
  <c r="E4378" i="3"/>
  <c r="K4378" i="3" s="1"/>
  <c r="K4381" i="3" s="1"/>
  <c r="I4373" i="3"/>
  <c r="K4373" i="3" s="1"/>
  <c r="I4372" i="3"/>
  <c r="K4372" i="3" s="1"/>
  <c r="I4371" i="3"/>
  <c r="K4371" i="3" s="1"/>
  <c r="I4366" i="3"/>
  <c r="K4366" i="3" s="1"/>
  <c r="I4365" i="3"/>
  <c r="K4365" i="3" s="1"/>
  <c r="I4362" i="3"/>
  <c r="K4362" i="3" s="1"/>
  <c r="I4361" i="3"/>
  <c r="K4361" i="3" s="1"/>
  <c r="I4360" i="3"/>
  <c r="K4360" i="3" s="1"/>
  <c r="I4359" i="3"/>
  <c r="K4359" i="3" s="1"/>
  <c r="I4356" i="3"/>
  <c r="K4356" i="3" s="1"/>
  <c r="I4355" i="3"/>
  <c r="K4355" i="3" s="1"/>
  <c r="I4354" i="3"/>
  <c r="K4354" i="3" s="1"/>
  <c r="I4353" i="3"/>
  <c r="K4353" i="3" s="1"/>
  <c r="I4352" i="3"/>
  <c r="K4352" i="3" s="1"/>
  <c r="I4346" i="3"/>
  <c r="K4346" i="3" s="1"/>
  <c r="I4345" i="3"/>
  <c r="K4345" i="3" s="1"/>
  <c r="I4344" i="3"/>
  <c r="K4344" i="3" s="1"/>
  <c r="K4335" i="3"/>
  <c r="K4334" i="3"/>
  <c r="K4333" i="3"/>
  <c r="J4329" i="3"/>
  <c r="K4324" i="3"/>
  <c r="E4323" i="3"/>
  <c r="K4323" i="3" s="1"/>
  <c r="I4318" i="3"/>
  <c r="K4318" i="3" s="1"/>
  <c r="I4317" i="3"/>
  <c r="K4317" i="3" s="1"/>
  <c r="I4316" i="3"/>
  <c r="K4316" i="3" s="1"/>
  <c r="J4312" i="3"/>
  <c r="K4307" i="3"/>
  <c r="K4305" i="3"/>
  <c r="K4304" i="3"/>
  <c r="I4299" i="3"/>
  <c r="K4299" i="3" s="1"/>
  <c r="I4298" i="3"/>
  <c r="K4298" i="3" s="1"/>
  <c r="I4297" i="3"/>
  <c r="K4297" i="3" s="1"/>
  <c r="I4296" i="3"/>
  <c r="K4296" i="3" s="1"/>
  <c r="I4290" i="3"/>
  <c r="K4290" i="3" s="1"/>
  <c r="I4289" i="3"/>
  <c r="G4289" i="3"/>
  <c r="I4288" i="3"/>
  <c r="K4288" i="3" s="1"/>
  <c r="J4274" i="3"/>
  <c r="K4269" i="3"/>
  <c r="K4268" i="3"/>
  <c r="K4267" i="3"/>
  <c r="J4263" i="3"/>
  <c r="K4258" i="3"/>
  <c r="G4257" i="3"/>
  <c r="E4257" i="3"/>
  <c r="I4251" i="3"/>
  <c r="K4251" i="3" s="1"/>
  <c r="I4250" i="3"/>
  <c r="K4250" i="3" s="1"/>
  <c r="E4232" i="3"/>
  <c r="K4232" i="3" s="1"/>
  <c r="K4235" i="3" s="1"/>
  <c r="J4224" i="3"/>
  <c r="K4224" i="3" s="1"/>
  <c r="K4225" i="3" s="1"/>
  <c r="J4218" i="3"/>
  <c r="K4218" i="3" s="1"/>
  <c r="K4219" i="3" s="1"/>
  <c r="J4214" i="3"/>
  <c r="G4209" i="3"/>
  <c r="E4209" i="3"/>
  <c r="G4208" i="3"/>
  <c r="E4208" i="3"/>
  <c r="G4207" i="3"/>
  <c r="E4207" i="3"/>
  <c r="G4206" i="3"/>
  <c r="K4206" i="3" s="1"/>
  <c r="G4205" i="3"/>
  <c r="E4205" i="3"/>
  <c r="G4204" i="3"/>
  <c r="E4204" i="3"/>
  <c r="E4203" i="3"/>
  <c r="K4203" i="3" s="1"/>
  <c r="K4194" i="3"/>
  <c r="K4198" i="3" s="1"/>
  <c r="J4180" i="3"/>
  <c r="G4175" i="3"/>
  <c r="K4175" i="3" s="1"/>
  <c r="G4174" i="3"/>
  <c r="K4174" i="3" s="1"/>
  <c r="K4172" i="3"/>
  <c r="K4171" i="3"/>
  <c r="I4165" i="3"/>
  <c r="K4165" i="3" s="1"/>
  <c r="I4164" i="3"/>
  <c r="K4164" i="3" s="1"/>
  <c r="I4163" i="3"/>
  <c r="K4163" i="3" s="1"/>
  <c r="J4159" i="3"/>
  <c r="G4154" i="3"/>
  <c r="E4154" i="3"/>
  <c r="E4153" i="3"/>
  <c r="K4153" i="3" s="1"/>
  <c r="J4149" i="3"/>
  <c r="E4144" i="3"/>
  <c r="K4144" i="3" s="1"/>
  <c r="E4142" i="3"/>
  <c r="E4143" i="3" s="1"/>
  <c r="K4143" i="3" s="1"/>
  <c r="G4134" i="3"/>
  <c r="K4134" i="3" s="1"/>
  <c r="K4137" i="3" s="1"/>
  <c r="E4126" i="3"/>
  <c r="K4126" i="3" s="1"/>
  <c r="K4129" i="3" s="1"/>
  <c r="J4112" i="3"/>
  <c r="E4108" i="3"/>
  <c r="K4108" i="3" s="1"/>
  <c r="K4111" i="3" s="1"/>
  <c r="J4104" i="3"/>
  <c r="E4099" i="3"/>
  <c r="K4099" i="3" s="1"/>
  <c r="E4097" i="3"/>
  <c r="E4098" i="3" s="1"/>
  <c r="J4083" i="3"/>
  <c r="K4078" i="3"/>
  <c r="K4077" i="3"/>
  <c r="J4073" i="3"/>
  <c r="K4068" i="3"/>
  <c r="K4067" i="3"/>
  <c r="J4063" i="3"/>
  <c r="K4059" i="3"/>
  <c r="K4062" i="3" s="1"/>
  <c r="J4055" i="3"/>
  <c r="G4048" i="3"/>
  <c r="K4048" i="3" s="1"/>
  <c r="G4047" i="3"/>
  <c r="E4047" i="3"/>
  <c r="I4040" i="3"/>
  <c r="K4040" i="3" s="1"/>
  <c r="I4039" i="3"/>
  <c r="K4039" i="3" s="1"/>
  <c r="I4038" i="3"/>
  <c r="K4038" i="3" s="1"/>
  <c r="I4037" i="3"/>
  <c r="K4037" i="3" s="1"/>
  <c r="I4036" i="3"/>
  <c r="K4036" i="3" s="1"/>
  <c r="I4034" i="3"/>
  <c r="K4034" i="3" s="1"/>
  <c r="I4033" i="3"/>
  <c r="K4033" i="3" s="1"/>
  <c r="I4032" i="3"/>
  <c r="K4032" i="3" s="1"/>
  <c r="I4031" i="3"/>
  <c r="K4031" i="3" s="1"/>
  <c r="I4030" i="3"/>
  <c r="K4030" i="3" s="1"/>
  <c r="I4029" i="3"/>
  <c r="K4029" i="3" s="1"/>
  <c r="I4028" i="3"/>
  <c r="K4028" i="3" s="1"/>
  <c r="I4027" i="3"/>
  <c r="K4027" i="3" s="1"/>
  <c r="J4012" i="3"/>
  <c r="G4011" i="3"/>
  <c r="G4006" i="3"/>
  <c r="K4006" i="3" s="1"/>
  <c r="G4005" i="3"/>
  <c r="K4005" i="3" s="1"/>
  <c r="G4003" i="3"/>
  <c r="J3999" i="3"/>
  <c r="K3994" i="3"/>
  <c r="K3993" i="3"/>
  <c r="K3992" i="3"/>
  <c r="K3991" i="3"/>
  <c r="K3990" i="3"/>
  <c r="I3984" i="3"/>
  <c r="K3984" i="3" s="1"/>
  <c r="I3983" i="3"/>
  <c r="K3983" i="3" s="1"/>
  <c r="I3982" i="3"/>
  <c r="K3982" i="3" s="1"/>
  <c r="K3976" i="3"/>
  <c r="K3958" i="3"/>
  <c r="I3934" i="3"/>
  <c r="K3934" i="3" s="1"/>
  <c r="I3933" i="3"/>
  <c r="K3933" i="3" s="1"/>
  <c r="I3932" i="3"/>
  <c r="K3932" i="3" s="1"/>
  <c r="I3931" i="3"/>
  <c r="K3931" i="3" s="1"/>
  <c r="I3930" i="3"/>
  <c r="K3930" i="3" s="1"/>
  <c r="I3929" i="3"/>
  <c r="K3929" i="3" s="1"/>
  <c r="J3925" i="3"/>
  <c r="K3921" i="3"/>
  <c r="K3924" i="3" s="1"/>
  <c r="I3915" i="3"/>
  <c r="K3915" i="3" s="1"/>
  <c r="I3914" i="3"/>
  <c r="K3914" i="3" s="1"/>
  <c r="J3910" i="3"/>
  <c r="E3905" i="3"/>
  <c r="K3905" i="3" s="1"/>
  <c r="E3904" i="3"/>
  <c r="K3904" i="3" s="1"/>
  <c r="K3903" i="3"/>
  <c r="E3902" i="3"/>
  <c r="K3902" i="3" s="1"/>
  <c r="J3898" i="3"/>
  <c r="E3894" i="3"/>
  <c r="K3894" i="3" s="1"/>
  <c r="K3897" i="3" s="1"/>
  <c r="J3890" i="3"/>
  <c r="E3886" i="3"/>
  <c r="K3886" i="3" s="1"/>
  <c r="K3889" i="3" s="1"/>
  <c r="I3880" i="3"/>
  <c r="K3880" i="3" s="1"/>
  <c r="I3879" i="3"/>
  <c r="K3879" i="3" s="1"/>
  <c r="I3878" i="3"/>
  <c r="K3878" i="3" s="1"/>
  <c r="I3877" i="3"/>
  <c r="K3877" i="3" s="1"/>
  <c r="I3876" i="3"/>
  <c r="K3876" i="3" s="1"/>
  <c r="I3875" i="3"/>
  <c r="K3875" i="3" s="1"/>
  <c r="J3871" i="3"/>
  <c r="K3867" i="3"/>
  <c r="K3870" i="3" s="1"/>
  <c r="J3859" i="3"/>
  <c r="K3859" i="3" s="1"/>
  <c r="K3860" i="3" s="1"/>
  <c r="K3861" i="3" s="1"/>
  <c r="J3855" i="3"/>
  <c r="K3854" i="3"/>
  <c r="J3847" i="3"/>
  <c r="K3842" i="3"/>
  <c r="K3841" i="3"/>
  <c r="J3827" i="3"/>
  <c r="K3820" i="3"/>
  <c r="K3819" i="3"/>
  <c r="K3818" i="3"/>
  <c r="K3816" i="3"/>
  <c r="K3814" i="3"/>
  <c r="E3811" i="3"/>
  <c r="K3811" i="3" s="1"/>
  <c r="K3810" i="3"/>
  <c r="E3809" i="3"/>
  <c r="K3809" i="3" s="1"/>
  <c r="E3808" i="3"/>
  <c r="K3808" i="3" s="1"/>
  <c r="G3807" i="3"/>
  <c r="K3807" i="3" s="1"/>
  <c r="G3806" i="3"/>
  <c r="K3806" i="3" s="1"/>
  <c r="E3804" i="3"/>
  <c r="K3804" i="3" s="1"/>
  <c r="E3803" i="3"/>
  <c r="K3803" i="3" s="1"/>
  <c r="J3799" i="3"/>
  <c r="K3795" i="3"/>
  <c r="K3798" i="3" s="1"/>
  <c r="J3791" i="3"/>
  <c r="K3786" i="3"/>
  <c r="K3790" i="3" s="1"/>
  <c r="J3782" i="3"/>
  <c r="K3778" i="3"/>
  <c r="K3781" i="3" s="1"/>
  <c r="J3774" i="3"/>
  <c r="E3769" i="3"/>
  <c r="K3769" i="3" s="1"/>
  <c r="E3768" i="3"/>
  <c r="K3768" i="3" s="1"/>
  <c r="E3767" i="3"/>
  <c r="K3767" i="3" s="1"/>
  <c r="I3761" i="3"/>
  <c r="K3761" i="3" s="1"/>
  <c r="K3762" i="3" s="1"/>
  <c r="J3757" i="3"/>
  <c r="E3751" i="3"/>
  <c r="K3751" i="3" s="1"/>
  <c r="E3750" i="3"/>
  <c r="K3750" i="3" s="1"/>
  <c r="E3748" i="3"/>
  <c r="K3748" i="3" s="1"/>
  <c r="E3747" i="3"/>
  <c r="K3747" i="3" s="1"/>
  <c r="E3746" i="3"/>
  <c r="K3746" i="3" s="1"/>
  <c r="J3741" i="3"/>
  <c r="E3737" i="3"/>
  <c r="K3737" i="3" s="1"/>
  <c r="K3740" i="3" s="1"/>
  <c r="J3732" i="3"/>
  <c r="E3728" i="3"/>
  <c r="K3728" i="3" s="1"/>
  <c r="K3731" i="3" s="1"/>
  <c r="J3723" i="3"/>
  <c r="E3719" i="3"/>
  <c r="K3719" i="3" s="1"/>
  <c r="K3722" i="3" s="1"/>
  <c r="J3715" i="3"/>
  <c r="E3711" i="3"/>
  <c r="K3711" i="3" s="1"/>
  <c r="K3714" i="3" s="1"/>
  <c r="J3707" i="3"/>
  <c r="E3702" i="3"/>
  <c r="K3702" i="3" s="1"/>
  <c r="E3701" i="3"/>
  <c r="K3701" i="3" s="1"/>
  <c r="J3696" i="3"/>
  <c r="K3691" i="3"/>
  <c r="E3690" i="3"/>
  <c r="K3690" i="3" s="1"/>
  <c r="E3689" i="3"/>
  <c r="K3689" i="3" s="1"/>
  <c r="E3688" i="3"/>
  <c r="K3688" i="3" s="1"/>
  <c r="E3686" i="3"/>
  <c r="K3686" i="3" s="1"/>
  <c r="K3687" i="3" s="1"/>
  <c r="I3680" i="3"/>
  <c r="K3680" i="3" s="1"/>
  <c r="I3679" i="3"/>
  <c r="K3679" i="3" s="1"/>
  <c r="I3678" i="3"/>
  <c r="K3678" i="3" s="1"/>
  <c r="I3677" i="3"/>
  <c r="K3677" i="3" s="1"/>
  <c r="J3673" i="3"/>
  <c r="G3668" i="3"/>
  <c r="E3668" i="3"/>
  <c r="E3667" i="3"/>
  <c r="K3667" i="3" s="1"/>
  <c r="G3666" i="3"/>
  <c r="E3666" i="3"/>
  <c r="K3665" i="3"/>
  <c r="K3664" i="3"/>
  <c r="J3660" i="3"/>
  <c r="K3655" i="3"/>
  <c r="K3654" i="3"/>
  <c r="I3649" i="3"/>
  <c r="K3649" i="3" s="1"/>
  <c r="I3648" i="3"/>
  <c r="K3648" i="3" s="1"/>
  <c r="J3644" i="3"/>
  <c r="K3639" i="3"/>
  <c r="K3638" i="3"/>
  <c r="J3634" i="3"/>
  <c r="K3630" i="3"/>
  <c r="K3633" i="3" s="1"/>
  <c r="J3626" i="3"/>
  <c r="K3622" i="3"/>
  <c r="K3625" i="3" s="1"/>
  <c r="J3618" i="3"/>
  <c r="K3614" i="3"/>
  <c r="K3617" i="3" s="1"/>
  <c r="J3610" i="3"/>
  <c r="K3605" i="3"/>
  <c r="K3604" i="3"/>
  <c r="I3598" i="3"/>
  <c r="K3598" i="3" s="1"/>
  <c r="I3597" i="3"/>
  <c r="K3597" i="3" s="1"/>
  <c r="J3593" i="3"/>
  <c r="K3588" i="3"/>
  <c r="K3587" i="3"/>
  <c r="J3583" i="3"/>
  <c r="K3578" i="3"/>
  <c r="K3577" i="3"/>
  <c r="J3573" i="3"/>
  <c r="K3568" i="3"/>
  <c r="K3567" i="3"/>
  <c r="I3562" i="3"/>
  <c r="K3562" i="3" s="1"/>
  <c r="K3563" i="3" s="1"/>
  <c r="J3558" i="3"/>
  <c r="K3553" i="3"/>
  <c r="K3552" i="3"/>
  <c r="J3538" i="3"/>
  <c r="G3533" i="3"/>
  <c r="K3533" i="3" s="1"/>
  <c r="K3532" i="3"/>
  <c r="J3528" i="3"/>
  <c r="K3523" i="3"/>
  <c r="K3522" i="3"/>
  <c r="J3518" i="3"/>
  <c r="K3513" i="3"/>
  <c r="K3512" i="3"/>
  <c r="J3508" i="3"/>
  <c r="K3503" i="3"/>
  <c r="K3502" i="3"/>
  <c r="J3498" i="3"/>
  <c r="K3493" i="3"/>
  <c r="K3492" i="3"/>
  <c r="J3488" i="3"/>
  <c r="K3483" i="3"/>
  <c r="K3482" i="3"/>
  <c r="J3478" i="3"/>
  <c r="K3473" i="3"/>
  <c r="K3472" i="3"/>
  <c r="I3467" i="3"/>
  <c r="K3467" i="3" s="1"/>
  <c r="K3468" i="3" s="1"/>
  <c r="I3462" i="3"/>
  <c r="K3462" i="3" s="1"/>
  <c r="K3463" i="3" s="1"/>
  <c r="J3458" i="3"/>
  <c r="K3453" i="3"/>
  <c r="K3451" i="3"/>
  <c r="K3450" i="3"/>
  <c r="K3449" i="3"/>
  <c r="K3448" i="3"/>
  <c r="J3444" i="3"/>
  <c r="K3439" i="3"/>
  <c r="K3438" i="3"/>
  <c r="J3434" i="3"/>
  <c r="K3429" i="3"/>
  <c r="K3428" i="3"/>
  <c r="J3424" i="3"/>
  <c r="K3419" i="3"/>
  <c r="G3418" i="3"/>
  <c r="E3418" i="3"/>
  <c r="E3417" i="3"/>
  <c r="K3417" i="3" s="1"/>
  <c r="I3412" i="3"/>
  <c r="K3412" i="3" s="1"/>
  <c r="K3413" i="3" s="1"/>
  <c r="J3408" i="3"/>
  <c r="K3403" i="3"/>
  <c r="K3402" i="3"/>
  <c r="J3398" i="3"/>
  <c r="K3394" i="3"/>
  <c r="K3397" i="3" s="1"/>
  <c r="J3390" i="3"/>
  <c r="K3385" i="3"/>
  <c r="K3384" i="3"/>
  <c r="I3379" i="3"/>
  <c r="K3379" i="3" s="1"/>
  <c r="K3380" i="3" s="1"/>
  <c r="J3365" i="3"/>
  <c r="G3360" i="3"/>
  <c r="K3360" i="3" s="1"/>
  <c r="K3359" i="3"/>
  <c r="I3354" i="3"/>
  <c r="K3354" i="3" s="1"/>
  <c r="K3355" i="3" s="1"/>
  <c r="I3349" i="3"/>
  <c r="K3349" i="3" s="1"/>
  <c r="K3350" i="3" s="1"/>
  <c r="K3344" i="3"/>
  <c r="K3345" i="3" s="1"/>
  <c r="J3330" i="3"/>
  <c r="G3325" i="3"/>
  <c r="K3325" i="3" s="1"/>
  <c r="K3324" i="3"/>
  <c r="K3323" i="3"/>
  <c r="J3309" i="3"/>
  <c r="G3304" i="3"/>
  <c r="K3304" i="3" s="1"/>
  <c r="E3303" i="3"/>
  <c r="G3303" i="3" s="1"/>
  <c r="K3303" i="3" s="1"/>
  <c r="E3302" i="3"/>
  <c r="G3302" i="3" s="1"/>
  <c r="K3302" i="3" s="1"/>
  <c r="E3301" i="3"/>
  <c r="G3301" i="3" s="1"/>
  <c r="K3301" i="3" s="1"/>
  <c r="E3300" i="3"/>
  <c r="G3300" i="3" s="1"/>
  <c r="K3300" i="3" s="1"/>
  <c r="E3299" i="3"/>
  <c r="G3299" i="3" s="1"/>
  <c r="K3299" i="3" s="1"/>
  <c r="E3298" i="3"/>
  <c r="G3298" i="3" s="1"/>
  <c r="K3298" i="3" s="1"/>
  <c r="G3297" i="3"/>
  <c r="K3297" i="3" s="1"/>
  <c r="G3296" i="3"/>
  <c r="K3296" i="3" s="1"/>
  <c r="J3292" i="3"/>
  <c r="K3288" i="3"/>
  <c r="K3291" i="3" s="1"/>
  <c r="J3284" i="3"/>
  <c r="K3279" i="3"/>
  <c r="K3278" i="3"/>
  <c r="J3264" i="3"/>
  <c r="E3259" i="3"/>
  <c r="G3259" i="3" s="1"/>
  <c r="K3259" i="3" s="1"/>
  <c r="E3258" i="3"/>
  <c r="G3258" i="3" s="1"/>
  <c r="K3258" i="3" s="1"/>
  <c r="E3257" i="3"/>
  <c r="G3257" i="3" s="1"/>
  <c r="K3257" i="3" s="1"/>
  <c r="E3256" i="3"/>
  <c r="G3256" i="3" s="1"/>
  <c r="K3256" i="3" s="1"/>
  <c r="E3255" i="3"/>
  <c r="G3255" i="3" s="1"/>
  <c r="K3255" i="3" s="1"/>
  <c r="E3254" i="3"/>
  <c r="G3254" i="3" s="1"/>
  <c r="K3254" i="3" s="1"/>
  <c r="K3253" i="3"/>
  <c r="K3252" i="3"/>
  <c r="J3248" i="3"/>
  <c r="K3243" i="3"/>
  <c r="K3242" i="3"/>
  <c r="J3238" i="3"/>
  <c r="K3233" i="3"/>
  <c r="K3232" i="3"/>
  <c r="J3228" i="3"/>
  <c r="K3223" i="3"/>
  <c r="E3222" i="3"/>
  <c r="K3222" i="3" s="1"/>
  <c r="K3221" i="3"/>
  <c r="K3220" i="3"/>
  <c r="J3216" i="3"/>
  <c r="K3211" i="3"/>
  <c r="K3210" i="3"/>
  <c r="J3206" i="3"/>
  <c r="K3201" i="3"/>
  <c r="K3200" i="3"/>
  <c r="J3186" i="3"/>
  <c r="E3181" i="3"/>
  <c r="G3181" i="3" s="1"/>
  <c r="K3181" i="3" s="1"/>
  <c r="E3180" i="3"/>
  <c r="G3180" i="3" s="1"/>
  <c r="K3180" i="3" s="1"/>
  <c r="E3179" i="3"/>
  <c r="G3179" i="3" s="1"/>
  <c r="K3179" i="3" s="1"/>
  <c r="E3178" i="3"/>
  <c r="G3178" i="3" s="1"/>
  <c r="K3178" i="3" s="1"/>
  <c r="E3177" i="3"/>
  <c r="G3177" i="3" s="1"/>
  <c r="K3177" i="3" s="1"/>
  <c r="G3176" i="3"/>
  <c r="K3176" i="3" s="1"/>
  <c r="E3176" i="3"/>
  <c r="K3175" i="3"/>
  <c r="G3174" i="3"/>
  <c r="K3174" i="3" s="1"/>
  <c r="G3173" i="3"/>
  <c r="K3173" i="3" s="1"/>
  <c r="G3172" i="3"/>
  <c r="K3172" i="3" s="1"/>
  <c r="G3171" i="3"/>
  <c r="K3171" i="3" s="1"/>
  <c r="K3170" i="3"/>
  <c r="J3156" i="3"/>
  <c r="K3151" i="3"/>
  <c r="G3150" i="3"/>
  <c r="K3150" i="3" s="1"/>
  <c r="G3149" i="3"/>
  <c r="K3149" i="3" s="1"/>
  <c r="K3148" i="3"/>
  <c r="J3144" i="3"/>
  <c r="E3140" i="3"/>
  <c r="G3140" i="3" s="1"/>
  <c r="K3140" i="3" s="1"/>
  <c r="E3139" i="3"/>
  <c r="G3139" i="3" s="1"/>
  <c r="K3139" i="3" s="1"/>
  <c r="K3138" i="3"/>
  <c r="J3134" i="3"/>
  <c r="K3129" i="3"/>
  <c r="K3128" i="3"/>
  <c r="K3127" i="3"/>
  <c r="J3123" i="3"/>
  <c r="K3118" i="3"/>
  <c r="E3117" i="3"/>
  <c r="K3117" i="3" s="1"/>
  <c r="J3113" i="3"/>
  <c r="K3108" i="3"/>
  <c r="K3107" i="3"/>
  <c r="J3093" i="3"/>
  <c r="K3088" i="3"/>
  <c r="K3087" i="3"/>
  <c r="J3073" i="3"/>
  <c r="E3068" i="3"/>
  <c r="G3068" i="3" s="1"/>
  <c r="K3068" i="3" s="1"/>
  <c r="E3067" i="3"/>
  <c r="G3067" i="3" s="1"/>
  <c r="K3067" i="3" s="1"/>
  <c r="E3066" i="3"/>
  <c r="G3066" i="3" s="1"/>
  <c r="K3066" i="3" s="1"/>
  <c r="E3065" i="3"/>
  <c r="G3065" i="3" s="1"/>
  <c r="K3065" i="3" s="1"/>
  <c r="E3064" i="3"/>
  <c r="G3064" i="3" s="1"/>
  <c r="K3064" i="3" s="1"/>
  <c r="E3063" i="3"/>
  <c r="G3063" i="3" s="1"/>
  <c r="K3063" i="3" s="1"/>
  <c r="K3062" i="3"/>
  <c r="K3061" i="3"/>
  <c r="I3056" i="3"/>
  <c r="K3056" i="3" s="1"/>
  <c r="K3057" i="3" s="1"/>
  <c r="I3051" i="3"/>
  <c r="K3051" i="3" s="1"/>
  <c r="I3050" i="3"/>
  <c r="K3050" i="3" s="1"/>
  <c r="I3049" i="3"/>
  <c r="K3049" i="3" s="1"/>
  <c r="I3048" i="3"/>
  <c r="K3048" i="3" s="1"/>
  <c r="J3044" i="3"/>
  <c r="K3039" i="3"/>
  <c r="K3038" i="3"/>
  <c r="J3034" i="3"/>
  <c r="K3029" i="3"/>
  <c r="K3028" i="3"/>
  <c r="I3023" i="3"/>
  <c r="K3023" i="3" s="1"/>
  <c r="K3024" i="3" s="1"/>
  <c r="I3018" i="3"/>
  <c r="K3018" i="3" s="1"/>
  <c r="K3019" i="3" s="1"/>
  <c r="J3014" i="3"/>
  <c r="K3009" i="3"/>
  <c r="K3013" i="3" s="1"/>
  <c r="J3005" i="3"/>
  <c r="K3000" i="3"/>
  <c r="K2999" i="3"/>
  <c r="J2995" i="3"/>
  <c r="K2990" i="3"/>
  <c r="K2989" i="3"/>
  <c r="K2984" i="3"/>
  <c r="K2985" i="3" s="1"/>
  <c r="J2970" i="3"/>
  <c r="K2965" i="3"/>
  <c r="K2963" i="3"/>
  <c r="K2962" i="3"/>
  <c r="K2957" i="3"/>
  <c r="K2958" i="3" s="1"/>
  <c r="I2952" i="3"/>
  <c r="K2952" i="3" s="1"/>
  <c r="K2953" i="3" s="1"/>
  <c r="J2938" i="3"/>
  <c r="E2933" i="3"/>
  <c r="K2933" i="3" s="1"/>
  <c r="E2932" i="3"/>
  <c r="K2932" i="3" s="1"/>
  <c r="E2931" i="3"/>
  <c r="K2931" i="3" s="1"/>
  <c r="E2930" i="3"/>
  <c r="K2930" i="3" s="1"/>
  <c r="E2929" i="3"/>
  <c r="K2929" i="3" s="1"/>
  <c r="E2928" i="3"/>
  <c r="K2928" i="3" s="1"/>
  <c r="K2927" i="3"/>
  <c r="K2926" i="3"/>
  <c r="K2925" i="3"/>
  <c r="K2920" i="3"/>
  <c r="K2921" i="3" s="1"/>
  <c r="K2915" i="3"/>
  <c r="K2916" i="3" s="1"/>
  <c r="K2910" i="3"/>
  <c r="K2911" i="3" s="1"/>
  <c r="K2905" i="3"/>
  <c r="K2906" i="3" s="1"/>
  <c r="J2901" i="3"/>
  <c r="E2896" i="3"/>
  <c r="K2896" i="3" s="1"/>
  <c r="E2895" i="3"/>
  <c r="K2895" i="3" s="1"/>
  <c r="J2891" i="3"/>
  <c r="K2886" i="3"/>
  <c r="K2885" i="3"/>
  <c r="J2881" i="3"/>
  <c r="K2876" i="3"/>
  <c r="K2875" i="3"/>
  <c r="J2871" i="3"/>
  <c r="E2866" i="3"/>
  <c r="K2866" i="3" s="1"/>
  <c r="E2865" i="3"/>
  <c r="K2865" i="3" s="1"/>
  <c r="J2861" i="3"/>
  <c r="K2857" i="3"/>
  <c r="K2860" i="3" s="1"/>
  <c r="K2848" i="3"/>
  <c r="K2852" i="3" s="1"/>
  <c r="K2839" i="3"/>
  <c r="K2840" i="3" s="1"/>
  <c r="K2843" i="3" s="1"/>
  <c r="I2834" i="3"/>
  <c r="K2834" i="3" s="1"/>
  <c r="I2833" i="3"/>
  <c r="K2833" i="3" s="1"/>
  <c r="I2832" i="3"/>
  <c r="K2832" i="3" s="1"/>
  <c r="I2831" i="3"/>
  <c r="K2831" i="3" s="1"/>
  <c r="I2830" i="3"/>
  <c r="K2830" i="3" s="1"/>
  <c r="I2829" i="3"/>
  <c r="K2829" i="3" s="1"/>
  <c r="I2828" i="3"/>
  <c r="K2828" i="3" s="1"/>
  <c r="J2824" i="3"/>
  <c r="E2819" i="3"/>
  <c r="K2819" i="3" s="1"/>
  <c r="E2818" i="3"/>
  <c r="K2818" i="3" s="1"/>
  <c r="I2812" i="3"/>
  <c r="K2812" i="3" s="1"/>
  <c r="K2811" i="3"/>
  <c r="I2806" i="3"/>
  <c r="K2806" i="3" s="1"/>
  <c r="K2807" i="3" s="1"/>
  <c r="I2790" i="3"/>
  <c r="K2790" i="3" s="1"/>
  <c r="K2791" i="3" s="1"/>
  <c r="I2785" i="3"/>
  <c r="K2785" i="3" s="1"/>
  <c r="K2786" i="3" s="1"/>
  <c r="J2781" i="3"/>
  <c r="K2776" i="3"/>
  <c r="K2775" i="3"/>
  <c r="K2770" i="3"/>
  <c r="K2771" i="3" s="1"/>
  <c r="K2765" i="3"/>
  <c r="K2766" i="3" s="1"/>
  <c r="K2760" i="3"/>
  <c r="K2761" i="3" s="1"/>
  <c r="K2755" i="3"/>
  <c r="K2756" i="3" s="1"/>
  <c r="K2750" i="3"/>
  <c r="K2751" i="3" s="1"/>
  <c r="I2750" i="3"/>
  <c r="K2745" i="3"/>
  <c r="K2746" i="3" s="1"/>
  <c r="J2741" i="3"/>
  <c r="K2736" i="3"/>
  <c r="K2735" i="3"/>
  <c r="K2726" i="3"/>
  <c r="K2725" i="3"/>
  <c r="K2724" i="3"/>
  <c r="J2720" i="3"/>
  <c r="K2715" i="3"/>
  <c r="E2714" i="3"/>
  <c r="K2714" i="3" s="1"/>
  <c r="J2710" i="3"/>
  <c r="K2705" i="3"/>
  <c r="K2704" i="3"/>
  <c r="E2685" i="3"/>
  <c r="G2685" i="3" s="1"/>
  <c r="K2685" i="3" s="1"/>
  <c r="E2684" i="3"/>
  <c r="G2684" i="3" s="1"/>
  <c r="K2684" i="3" s="1"/>
  <c r="E2683" i="3"/>
  <c r="G2683" i="3" s="1"/>
  <c r="K2683" i="3" s="1"/>
  <c r="E2682" i="3"/>
  <c r="G2682" i="3" s="1"/>
  <c r="K2682" i="3" s="1"/>
  <c r="E2681" i="3"/>
  <c r="G2681" i="3" s="1"/>
  <c r="K2681" i="3" s="1"/>
  <c r="E2680" i="3"/>
  <c r="G2680" i="3" s="1"/>
  <c r="K2680" i="3" s="1"/>
  <c r="K2679" i="3"/>
  <c r="K2678" i="3"/>
  <c r="I2673" i="3"/>
  <c r="K2673" i="3" s="1"/>
  <c r="K2674" i="3" s="1"/>
  <c r="J2669" i="3"/>
  <c r="K2663" i="3"/>
  <c r="K2662" i="3"/>
  <c r="K2661" i="3"/>
  <c r="K2651" i="3"/>
  <c r="K2650" i="3"/>
  <c r="K2649" i="3"/>
  <c r="J2645" i="3"/>
  <c r="K2640" i="3"/>
  <c r="K2639" i="3"/>
  <c r="I2634" i="3"/>
  <c r="K2634" i="3" s="1"/>
  <c r="K2635" i="3" s="1"/>
  <c r="K2626" i="3"/>
  <c r="K2629" i="3" s="1"/>
  <c r="J2622" i="3"/>
  <c r="K2617" i="3"/>
  <c r="K2616" i="3"/>
  <c r="K2597" i="3"/>
  <c r="E2596" i="3"/>
  <c r="G2596" i="3" s="1"/>
  <c r="I2596" i="3" s="1"/>
  <c r="K2596" i="3" s="1"/>
  <c r="E2595" i="3"/>
  <c r="G2595" i="3" s="1"/>
  <c r="I2595" i="3" s="1"/>
  <c r="K2595" i="3" s="1"/>
  <c r="E2594" i="3"/>
  <c r="G2594" i="3" s="1"/>
  <c r="I2594" i="3" s="1"/>
  <c r="K2594" i="3" s="1"/>
  <c r="E2593" i="3"/>
  <c r="G2593" i="3" s="1"/>
  <c r="I2593" i="3" s="1"/>
  <c r="K2593" i="3" s="1"/>
  <c r="E2592" i="3"/>
  <c r="G2592" i="3" s="1"/>
  <c r="I2592" i="3" s="1"/>
  <c r="K2592" i="3" s="1"/>
  <c r="H2591" i="3"/>
  <c r="E2591" i="3"/>
  <c r="G2591" i="3" s="1"/>
  <c r="K2590" i="3"/>
  <c r="I2585" i="3"/>
  <c r="K2585" i="3" s="1"/>
  <c r="K2586" i="3" s="1"/>
  <c r="I2580" i="3"/>
  <c r="K2580" i="3" s="1"/>
  <c r="K2581" i="3" s="1"/>
  <c r="K2575" i="3"/>
  <c r="K2576" i="3" s="1"/>
  <c r="J2561" i="3"/>
  <c r="K2556" i="3"/>
  <c r="E2555" i="3"/>
  <c r="I2555" i="3" s="1"/>
  <c r="K2555" i="3" s="1"/>
  <c r="E2554" i="3"/>
  <c r="I2554" i="3" s="1"/>
  <c r="K2554" i="3" s="1"/>
  <c r="E2553" i="3"/>
  <c r="I2553" i="3" s="1"/>
  <c r="K2553" i="3" s="1"/>
  <c r="G2552" i="3"/>
  <c r="E2552" i="3"/>
  <c r="E2551" i="3"/>
  <c r="I2551" i="3" s="1"/>
  <c r="K2551" i="3" s="1"/>
  <c r="G2550" i="3"/>
  <c r="E2550" i="3"/>
  <c r="K2549" i="3"/>
  <c r="I2544" i="3"/>
  <c r="K2544" i="3" s="1"/>
  <c r="K2545" i="3" s="1"/>
  <c r="I2539" i="3"/>
  <c r="K2539" i="3" s="1"/>
  <c r="K2540" i="3" s="1"/>
  <c r="K2534" i="3"/>
  <c r="K2535" i="3" s="1"/>
  <c r="K2525" i="3"/>
  <c r="K2524" i="3"/>
  <c r="K2523" i="3"/>
  <c r="J2519" i="3"/>
  <c r="K2514" i="3"/>
  <c r="K2513" i="3"/>
  <c r="K2512" i="3"/>
  <c r="J2498" i="3"/>
  <c r="K2492" i="3"/>
  <c r="K2491" i="3"/>
  <c r="K2490" i="3"/>
  <c r="I2484" i="3"/>
  <c r="K2484" i="3" s="1"/>
  <c r="I2483" i="3"/>
  <c r="K2483" i="3" s="1"/>
  <c r="J2479" i="3"/>
  <c r="G2475" i="3"/>
  <c r="K2475" i="3" s="1"/>
  <c r="K2478" i="3" s="1"/>
  <c r="I2470" i="3"/>
  <c r="K2470" i="3" s="1"/>
  <c r="K2471" i="3" s="1"/>
  <c r="I2465" i="3"/>
  <c r="K2465" i="3" s="1"/>
  <c r="K2466" i="3" s="1"/>
  <c r="K2456" i="3"/>
  <c r="E2455" i="3"/>
  <c r="E2454" i="3"/>
  <c r="G2453" i="3"/>
  <c r="K2453" i="3" s="1"/>
  <c r="K2452" i="3"/>
  <c r="I2447" i="3"/>
  <c r="K2447" i="3" s="1"/>
  <c r="K2448" i="3" s="1"/>
  <c r="I2442" i="3"/>
  <c r="K2442" i="3" s="1"/>
  <c r="K2443" i="3" s="1"/>
  <c r="J2438" i="3"/>
  <c r="G2433" i="3"/>
  <c r="E2433" i="3"/>
  <c r="G2432" i="3"/>
  <c r="K2432" i="3" s="1"/>
  <c r="G2431" i="3"/>
  <c r="K2431" i="3" s="1"/>
  <c r="K2429" i="3"/>
  <c r="K2428" i="3"/>
  <c r="J2362" i="3"/>
  <c r="K2362" i="3" s="1"/>
  <c r="J2361" i="3"/>
  <c r="G2361" i="3"/>
  <c r="I2355" i="3"/>
  <c r="K2355" i="3" s="1"/>
  <c r="I2354" i="3"/>
  <c r="K2354" i="3" s="1"/>
  <c r="I2353" i="3"/>
  <c r="K2353" i="3" s="1"/>
  <c r="I2352" i="3"/>
  <c r="K2352" i="3" s="1"/>
  <c r="I2345" i="3"/>
  <c r="K2345" i="3" s="1"/>
  <c r="I2344" i="3"/>
  <c r="K2344" i="3" s="1"/>
  <c r="I2339" i="3"/>
  <c r="K2339" i="3" s="1"/>
  <c r="I2338" i="3"/>
  <c r="K2338" i="3" s="1"/>
  <c r="J2324" i="3"/>
  <c r="E2319" i="3"/>
  <c r="I2319" i="3" s="1"/>
  <c r="K2319" i="3" s="1"/>
  <c r="E2318" i="3"/>
  <c r="I2318" i="3" s="1"/>
  <c r="K2318" i="3" s="1"/>
  <c r="E2317" i="3"/>
  <c r="I2317" i="3" s="1"/>
  <c r="K2317" i="3" s="1"/>
  <c r="E2316" i="3"/>
  <c r="I2316" i="3" s="1"/>
  <c r="K2316" i="3" s="1"/>
  <c r="G2315" i="3"/>
  <c r="I2315" i="3" s="1"/>
  <c r="K2315" i="3" s="1"/>
  <c r="G2314" i="3"/>
  <c r="I2314" i="3" s="1"/>
  <c r="K2314" i="3" s="1"/>
  <c r="E2313" i="3"/>
  <c r="G2313" i="3" s="1"/>
  <c r="I2313" i="3" s="1"/>
  <c r="K2313" i="3" s="1"/>
  <c r="E2312" i="3"/>
  <c r="G2312" i="3" s="1"/>
  <c r="I2312" i="3" s="1"/>
  <c r="K2312" i="3" s="1"/>
  <c r="G2311" i="3"/>
  <c r="I2311" i="3" s="1"/>
  <c r="K2311" i="3" s="1"/>
  <c r="I2310" i="3"/>
  <c r="K2310" i="3" s="1"/>
  <c r="I2309" i="3"/>
  <c r="K2309" i="3" s="1"/>
  <c r="J2295" i="3"/>
  <c r="E2290" i="3"/>
  <c r="I2290" i="3" s="1"/>
  <c r="K2290" i="3" s="1"/>
  <c r="E2289" i="3"/>
  <c r="I2289" i="3" s="1"/>
  <c r="K2289" i="3" s="1"/>
  <c r="E2288" i="3"/>
  <c r="I2288" i="3" s="1"/>
  <c r="K2288" i="3" s="1"/>
  <c r="E2287" i="3"/>
  <c r="I2287" i="3" s="1"/>
  <c r="K2287" i="3" s="1"/>
  <c r="G2286" i="3"/>
  <c r="I2286" i="3" s="1"/>
  <c r="K2286" i="3" s="1"/>
  <c r="G2285" i="3"/>
  <c r="I2285" i="3" s="1"/>
  <c r="K2285" i="3" s="1"/>
  <c r="E2284" i="3"/>
  <c r="G2284" i="3" s="1"/>
  <c r="I2284" i="3" s="1"/>
  <c r="K2284" i="3" s="1"/>
  <c r="E2283" i="3"/>
  <c r="G2283" i="3" s="1"/>
  <c r="I2283" i="3" s="1"/>
  <c r="K2283" i="3" s="1"/>
  <c r="G2282" i="3"/>
  <c r="I2282" i="3" s="1"/>
  <c r="K2282" i="3" s="1"/>
  <c r="I2281" i="3"/>
  <c r="K2281" i="3" s="1"/>
  <c r="E2280" i="3"/>
  <c r="I2280" i="3" s="1"/>
  <c r="K2280" i="3" s="1"/>
  <c r="E2261" i="3"/>
  <c r="K2261" i="3" s="1"/>
  <c r="E2260" i="3"/>
  <c r="K2260" i="3" s="1"/>
  <c r="K2259" i="3"/>
  <c r="E2258" i="3"/>
  <c r="I2258" i="3" s="1"/>
  <c r="K2258" i="3" s="1"/>
  <c r="I2257" i="3"/>
  <c r="K2257" i="3" s="1"/>
  <c r="I2256" i="3"/>
  <c r="K2256" i="3" s="1"/>
  <c r="I2255" i="3"/>
  <c r="K2255" i="3" s="1"/>
  <c r="I2254" i="3"/>
  <c r="K2254" i="3" s="1"/>
  <c r="I2253" i="3"/>
  <c r="K2253" i="3" s="1"/>
  <c r="G2252" i="3"/>
  <c r="E2252" i="3"/>
  <c r="G2251" i="3"/>
  <c r="E2251" i="3"/>
  <c r="G2250" i="3"/>
  <c r="K2250" i="3" s="1"/>
  <c r="E2249" i="3"/>
  <c r="K2249" i="3" s="1"/>
  <c r="E2230" i="3"/>
  <c r="I2230" i="3" s="1"/>
  <c r="K2230" i="3" s="1"/>
  <c r="E2229" i="3"/>
  <c r="I2229" i="3" s="1"/>
  <c r="K2229" i="3" s="1"/>
  <c r="E2228" i="3"/>
  <c r="I2228" i="3" s="1"/>
  <c r="K2228" i="3" s="1"/>
  <c r="E2227" i="3"/>
  <c r="I2227" i="3" s="1"/>
  <c r="K2227" i="3" s="1"/>
  <c r="G2226" i="3"/>
  <c r="I2226" i="3" s="1"/>
  <c r="K2226" i="3" s="1"/>
  <c r="G2225" i="3"/>
  <c r="I2225" i="3" s="1"/>
  <c r="K2225" i="3" s="1"/>
  <c r="I2224" i="3"/>
  <c r="K2224" i="3" s="1"/>
  <c r="E2223" i="3"/>
  <c r="I2223" i="3" s="1"/>
  <c r="K2223" i="3" s="1"/>
  <c r="E2204" i="3"/>
  <c r="K2204" i="3" s="1"/>
  <c r="E2203" i="3"/>
  <c r="K2203" i="3" s="1"/>
  <c r="K2202" i="3"/>
  <c r="G2201" i="3"/>
  <c r="E2201" i="3"/>
  <c r="G2200" i="3"/>
  <c r="E2200" i="3"/>
  <c r="K2199" i="3"/>
  <c r="G2199" i="3"/>
  <c r="E2198" i="3"/>
  <c r="K2198" i="3" s="1"/>
  <c r="J2184" i="3"/>
  <c r="E2179" i="3"/>
  <c r="K2179" i="3" s="1"/>
  <c r="E2178" i="3"/>
  <c r="K2178" i="3" s="1"/>
  <c r="K2177" i="3"/>
  <c r="I2176" i="3"/>
  <c r="K2176" i="3" s="1"/>
  <c r="I2175" i="3"/>
  <c r="K2175" i="3" s="1"/>
  <c r="I2174" i="3"/>
  <c r="K2174" i="3" s="1"/>
  <c r="I2173" i="3"/>
  <c r="K2173" i="3" s="1"/>
  <c r="K2172" i="3"/>
  <c r="I2172" i="3"/>
  <c r="I2171" i="3"/>
  <c r="K2171" i="3" s="1"/>
  <c r="G2170" i="3"/>
  <c r="E2170" i="3"/>
  <c r="G2169" i="3"/>
  <c r="E2169" i="3"/>
  <c r="G2168" i="3"/>
  <c r="K2168" i="3" s="1"/>
  <c r="E2167" i="3"/>
  <c r="K2167" i="3" s="1"/>
  <c r="J2163" i="3"/>
  <c r="E2158" i="3"/>
  <c r="I2158" i="3" s="1"/>
  <c r="K2158" i="3" s="1"/>
  <c r="E2157" i="3"/>
  <c r="I2157" i="3" s="1"/>
  <c r="K2157" i="3" s="1"/>
  <c r="E2156" i="3"/>
  <c r="I2156" i="3" s="1"/>
  <c r="K2156" i="3" s="1"/>
  <c r="E2155" i="3"/>
  <c r="I2155" i="3" s="1"/>
  <c r="K2155" i="3" s="1"/>
  <c r="G2154" i="3"/>
  <c r="I2154" i="3" s="1"/>
  <c r="K2154" i="3" s="1"/>
  <c r="G2153" i="3"/>
  <c r="I2153" i="3" s="1"/>
  <c r="K2153" i="3" s="1"/>
  <c r="G2152" i="3"/>
  <c r="E2152" i="3"/>
  <c r="G2151" i="3"/>
  <c r="E2151" i="3"/>
  <c r="I2150" i="3"/>
  <c r="K2150" i="3" s="1"/>
  <c r="G2150" i="3"/>
  <c r="I2149" i="3"/>
  <c r="K2149" i="3" s="1"/>
  <c r="E2148" i="3"/>
  <c r="I2148" i="3" s="1"/>
  <c r="K2148" i="3" s="1"/>
  <c r="E2129" i="3"/>
  <c r="I2129" i="3" s="1"/>
  <c r="K2129" i="3" s="1"/>
  <c r="E2128" i="3"/>
  <c r="I2128" i="3" s="1"/>
  <c r="K2128" i="3" s="1"/>
  <c r="E2127" i="3"/>
  <c r="I2127" i="3" s="1"/>
  <c r="K2127" i="3" s="1"/>
  <c r="E2126" i="3"/>
  <c r="I2126" i="3" s="1"/>
  <c r="K2126" i="3" s="1"/>
  <c r="G2125" i="3"/>
  <c r="I2125" i="3" s="1"/>
  <c r="K2125" i="3" s="1"/>
  <c r="G2124" i="3"/>
  <c r="I2124" i="3" s="1"/>
  <c r="K2124" i="3" s="1"/>
  <c r="G2123" i="3"/>
  <c r="E2123" i="3"/>
  <c r="G2122" i="3"/>
  <c r="E2122" i="3"/>
  <c r="I2121" i="3"/>
  <c r="K2121" i="3" s="1"/>
  <c r="G2121" i="3"/>
  <c r="I2120" i="3"/>
  <c r="K2120" i="3" s="1"/>
  <c r="I2119" i="3"/>
  <c r="K2119" i="3" s="1"/>
  <c r="I2113" i="3"/>
  <c r="K2113" i="3" s="1"/>
  <c r="I2112" i="3"/>
  <c r="K2112" i="3" s="1"/>
  <c r="I2111" i="3"/>
  <c r="K2111" i="3" s="1"/>
  <c r="I2110" i="3"/>
  <c r="K2110" i="3" s="1"/>
  <c r="I2104" i="3"/>
  <c r="K2104" i="3" s="1"/>
  <c r="I2103" i="3"/>
  <c r="K2103" i="3" s="1"/>
  <c r="I2102" i="3"/>
  <c r="K2102" i="3" s="1"/>
  <c r="I2101" i="3"/>
  <c r="K2101" i="3" s="1"/>
  <c r="K2092" i="3"/>
  <c r="G2091" i="3"/>
  <c r="K2091" i="3" s="1"/>
  <c r="K2090" i="3"/>
  <c r="E2089" i="3"/>
  <c r="K2089" i="3" s="1"/>
  <c r="K2080" i="3"/>
  <c r="G2079" i="3"/>
  <c r="K2079" i="3" s="1"/>
  <c r="K2078" i="3"/>
  <c r="K2077" i="3"/>
  <c r="K2058" i="3"/>
  <c r="K2057" i="3"/>
  <c r="K2056" i="3"/>
  <c r="K2055" i="3"/>
  <c r="K2036" i="3"/>
  <c r="K2035" i="3"/>
  <c r="J2031" i="3"/>
  <c r="E2026" i="3"/>
  <c r="K2026" i="3" s="1"/>
  <c r="K2027" i="3" s="1"/>
  <c r="K2030" i="3" s="1"/>
  <c r="J2022" i="3"/>
  <c r="K2017" i="3"/>
  <c r="E2016" i="3"/>
  <c r="K2016" i="3" s="1"/>
  <c r="E2015" i="3"/>
  <c r="K2015" i="3" s="1"/>
  <c r="G2014" i="3"/>
  <c r="K2014" i="3" s="1"/>
  <c r="E2013" i="3"/>
  <c r="K2013" i="3" s="1"/>
  <c r="J2009" i="3"/>
  <c r="K2004" i="3"/>
  <c r="K2003" i="3"/>
  <c r="I1997" i="3"/>
  <c r="G1997" i="3"/>
  <c r="I1996" i="3"/>
  <c r="G1996" i="3"/>
  <c r="I1995" i="3"/>
  <c r="G1995" i="3"/>
  <c r="I1994" i="3"/>
  <c r="G1994" i="3"/>
  <c r="I1989" i="3"/>
  <c r="K1989" i="3" s="1"/>
  <c r="K1990" i="3" s="1"/>
  <c r="J1985" i="3"/>
  <c r="E1980" i="3"/>
  <c r="H1980" i="3" s="1"/>
  <c r="K1980" i="3" s="1"/>
  <c r="E1979" i="3"/>
  <c r="H1979" i="3" s="1"/>
  <c r="K1979" i="3" s="1"/>
  <c r="K1978" i="3"/>
  <c r="E1977" i="3"/>
  <c r="K1977" i="3" s="1"/>
  <c r="J1973" i="3"/>
  <c r="E1968" i="3"/>
  <c r="K1968" i="3" s="1"/>
  <c r="E1967" i="3"/>
  <c r="K1967" i="3" s="1"/>
  <c r="K1966" i="3"/>
  <c r="E1965" i="3"/>
  <c r="G1964" i="3"/>
  <c r="K1964" i="3" s="1"/>
  <c r="E1963" i="3"/>
  <c r="K1963" i="3" s="1"/>
  <c r="J1959" i="3"/>
  <c r="E1954" i="3"/>
  <c r="H1954" i="3" s="1"/>
  <c r="K1954" i="3" s="1"/>
  <c r="E1953" i="3"/>
  <c r="H1953" i="3" s="1"/>
  <c r="K1953" i="3" s="1"/>
  <c r="K1952" i="3"/>
  <c r="E1951" i="3"/>
  <c r="K1951" i="3" s="1"/>
  <c r="J1947" i="3"/>
  <c r="H1942" i="3"/>
  <c r="K1942" i="3" s="1"/>
  <c r="E1942" i="3"/>
  <c r="E1941" i="3"/>
  <c r="H1941" i="3" s="1"/>
  <c r="K1941" i="3" s="1"/>
  <c r="K1940" i="3"/>
  <c r="E1939" i="3"/>
  <c r="G1938" i="3"/>
  <c r="K1938" i="3" s="1"/>
  <c r="E1937" i="3"/>
  <c r="K1937" i="3" s="1"/>
  <c r="J1933" i="3"/>
  <c r="K1928" i="3"/>
  <c r="K1927" i="3"/>
  <c r="J1923" i="3"/>
  <c r="K1918" i="3"/>
  <c r="G1917" i="3"/>
  <c r="K1917" i="3" s="1"/>
  <c r="E1916" i="3"/>
  <c r="K1916" i="3" s="1"/>
  <c r="J1912" i="3"/>
  <c r="K1907" i="3"/>
  <c r="G1906" i="3"/>
  <c r="K1906" i="3" s="1"/>
  <c r="E1905" i="3"/>
  <c r="K1905" i="3" s="1"/>
  <c r="K1896" i="3"/>
  <c r="G1895" i="3"/>
  <c r="K1895" i="3" s="1"/>
  <c r="E1894" i="3"/>
  <c r="K1894" i="3" s="1"/>
  <c r="J1880" i="3"/>
  <c r="E1875" i="3"/>
  <c r="I1875" i="3" s="1"/>
  <c r="K1875" i="3" s="1"/>
  <c r="E1874" i="3"/>
  <c r="I1874" i="3" s="1"/>
  <c r="K1874" i="3" s="1"/>
  <c r="E1873" i="3"/>
  <c r="I1873" i="3" s="1"/>
  <c r="K1873" i="3" s="1"/>
  <c r="G1872" i="3"/>
  <c r="E1872" i="3"/>
  <c r="E1871" i="3"/>
  <c r="I1871" i="3" s="1"/>
  <c r="K1871" i="3" s="1"/>
  <c r="E1870" i="3"/>
  <c r="I1870" i="3" s="1"/>
  <c r="K1870" i="3" s="1"/>
  <c r="I1869" i="3"/>
  <c r="K1869" i="3" s="1"/>
  <c r="I1868" i="3"/>
  <c r="K1868" i="3" s="1"/>
  <c r="I1867" i="3"/>
  <c r="K1867" i="3" s="1"/>
  <c r="J1863" i="3"/>
  <c r="G1858" i="3"/>
  <c r="K1858" i="3" s="1"/>
  <c r="G1857" i="3"/>
  <c r="E1857" i="3"/>
  <c r="J1843" i="3"/>
  <c r="E1838" i="3"/>
  <c r="G1838" i="3" s="1"/>
  <c r="K1838" i="3" s="1"/>
  <c r="E1837" i="3"/>
  <c r="G1837" i="3" s="1"/>
  <c r="K1837" i="3" s="1"/>
  <c r="G1836" i="3"/>
  <c r="K1836" i="3" s="1"/>
  <c r="E1835" i="3"/>
  <c r="K1835" i="3" s="1"/>
  <c r="I1830" i="3"/>
  <c r="K1830" i="3" s="1"/>
  <c r="K1831" i="3" s="1"/>
  <c r="I1825" i="3"/>
  <c r="K1825" i="3" s="1"/>
  <c r="K1826" i="3" s="1"/>
  <c r="K1820" i="3"/>
  <c r="K1821" i="3" s="1"/>
  <c r="K1815" i="3"/>
  <c r="K1816" i="3" s="1"/>
  <c r="K1810" i="3"/>
  <c r="K1811" i="3" s="1"/>
  <c r="K1802" i="3"/>
  <c r="K1805" i="3" s="1"/>
  <c r="I1797" i="3"/>
  <c r="K1797" i="3" s="1"/>
  <c r="K1798" i="3" s="1"/>
  <c r="I1792" i="3"/>
  <c r="K1792" i="3" s="1"/>
  <c r="K1793" i="3" s="1"/>
  <c r="E1783" i="3"/>
  <c r="K1783" i="3" s="1"/>
  <c r="E1782" i="3"/>
  <c r="K1782" i="3" s="1"/>
  <c r="K1781" i="3"/>
  <c r="G1780" i="3"/>
  <c r="K1780" i="3" s="1"/>
  <c r="E1779" i="3"/>
  <c r="K1779" i="3" s="1"/>
  <c r="E1760" i="3"/>
  <c r="K1760" i="3" s="1"/>
  <c r="E1759" i="3"/>
  <c r="K1759" i="3" s="1"/>
  <c r="K1758" i="3"/>
  <c r="G1757" i="3"/>
  <c r="K1757" i="3" s="1"/>
  <c r="K1756" i="3"/>
  <c r="G1756" i="3"/>
  <c r="E1755" i="3"/>
  <c r="K1755" i="3" s="1"/>
  <c r="E1746" i="3"/>
  <c r="K1746" i="3" s="1"/>
  <c r="E1745" i="3"/>
  <c r="K1745" i="3" s="1"/>
  <c r="K1744" i="3"/>
  <c r="G1743" i="3"/>
  <c r="K1743" i="3" s="1"/>
  <c r="K1742" i="3"/>
  <c r="G1742" i="3"/>
  <c r="E1741" i="3"/>
  <c r="K1741" i="3" s="1"/>
  <c r="J1737" i="3"/>
  <c r="K1732" i="3"/>
  <c r="G1731" i="3"/>
  <c r="K1731" i="3" s="1"/>
  <c r="E1730" i="3"/>
  <c r="K1730" i="3" s="1"/>
  <c r="E1712" i="3"/>
  <c r="H1712" i="3" s="1"/>
  <c r="K1712" i="3" s="1"/>
  <c r="H1711" i="3"/>
  <c r="K1711" i="3" s="1"/>
  <c r="E1710" i="3"/>
  <c r="H1710" i="3" s="1"/>
  <c r="K1710" i="3" s="1"/>
  <c r="E1709" i="3"/>
  <c r="H1709" i="3" s="1"/>
  <c r="K1709" i="3" s="1"/>
  <c r="E1708" i="3"/>
  <c r="H1708" i="3" s="1"/>
  <c r="K1708" i="3" s="1"/>
  <c r="E1707" i="3"/>
  <c r="H1707" i="3" s="1"/>
  <c r="K1707" i="3" s="1"/>
  <c r="E1706" i="3"/>
  <c r="H1706" i="3" s="1"/>
  <c r="K1706" i="3" s="1"/>
  <c r="E1705" i="3"/>
  <c r="H1705" i="3" s="1"/>
  <c r="K1705" i="3" s="1"/>
  <c r="H1704" i="3"/>
  <c r="K1704" i="3" s="1"/>
  <c r="E1703" i="3"/>
  <c r="H1703" i="3" s="1"/>
  <c r="K1703" i="3" s="1"/>
  <c r="K1698" i="3"/>
  <c r="K1699" i="3" s="1"/>
  <c r="I1693" i="3"/>
  <c r="K1693" i="3" s="1"/>
  <c r="I1692" i="3"/>
  <c r="K1692" i="3" s="1"/>
  <c r="I1687" i="3"/>
  <c r="K1687" i="3" s="1"/>
  <c r="I1686" i="3"/>
  <c r="K1686" i="3" s="1"/>
  <c r="K1681" i="3"/>
  <c r="K1682" i="3" s="1"/>
  <c r="K1676" i="3"/>
  <c r="K1677" i="3" s="1"/>
  <c r="K1671" i="3"/>
  <c r="K1672" i="3" s="1"/>
  <c r="K1666" i="3"/>
  <c r="K1667" i="3" s="1"/>
  <c r="I1661" i="3"/>
  <c r="K1661" i="3" s="1"/>
  <c r="K1662" i="3" s="1"/>
  <c r="J1647" i="3"/>
  <c r="I1642" i="3"/>
  <c r="K1642" i="3" s="1"/>
  <c r="G1641" i="3"/>
  <c r="I1641" i="3" s="1"/>
  <c r="K1641" i="3" s="1"/>
  <c r="I1640" i="3"/>
  <c r="K1640" i="3" s="1"/>
  <c r="I1639" i="3"/>
  <c r="K1639" i="3" s="1"/>
  <c r="K1634" i="3"/>
  <c r="K1635" i="3" s="1"/>
  <c r="J1627" i="3"/>
  <c r="I1625" i="3"/>
  <c r="K1625" i="3" s="1"/>
  <c r="K1626" i="3" s="1"/>
  <c r="E1606" i="3"/>
  <c r="I1606" i="3" s="1"/>
  <c r="K1606" i="3" s="1"/>
  <c r="E1605" i="3"/>
  <c r="I1605" i="3" s="1"/>
  <c r="K1605" i="3" s="1"/>
  <c r="E1604" i="3"/>
  <c r="I1604" i="3" s="1"/>
  <c r="K1604" i="3" s="1"/>
  <c r="G1603" i="3"/>
  <c r="E1603" i="3"/>
  <c r="E1602" i="3"/>
  <c r="I1602" i="3" s="1"/>
  <c r="K1602" i="3" s="1"/>
  <c r="G1601" i="3"/>
  <c r="E1601" i="3"/>
  <c r="I1600" i="3"/>
  <c r="K1600" i="3" s="1"/>
  <c r="E1599" i="3"/>
  <c r="I1599" i="3" s="1"/>
  <c r="K1599" i="3" s="1"/>
  <c r="E1598" i="3"/>
  <c r="I1598" i="3" s="1"/>
  <c r="K1598" i="3" s="1"/>
  <c r="I1597" i="3"/>
  <c r="K1597" i="3" s="1"/>
  <c r="I1596" i="3"/>
  <c r="K1596" i="3" s="1"/>
  <c r="J1592" i="3"/>
  <c r="E1587" i="3"/>
  <c r="I1587" i="3" s="1"/>
  <c r="K1587" i="3" s="1"/>
  <c r="E1586" i="3"/>
  <c r="I1586" i="3" s="1"/>
  <c r="K1586" i="3" s="1"/>
  <c r="E1585" i="3"/>
  <c r="I1585" i="3" s="1"/>
  <c r="K1585" i="3" s="1"/>
  <c r="G1584" i="3"/>
  <c r="E1584" i="3"/>
  <c r="E1583" i="3"/>
  <c r="I1583" i="3" s="1"/>
  <c r="K1583" i="3" s="1"/>
  <c r="G1582" i="3"/>
  <c r="E1582" i="3"/>
  <c r="I1581" i="3"/>
  <c r="K1581" i="3" s="1"/>
  <c r="E1580" i="3"/>
  <c r="I1580" i="3" s="1"/>
  <c r="K1580" i="3" s="1"/>
  <c r="E1579" i="3"/>
  <c r="I1579" i="3" s="1"/>
  <c r="K1579" i="3" s="1"/>
  <c r="I1578" i="3"/>
  <c r="K1578" i="3" s="1"/>
  <c r="I1577" i="3"/>
  <c r="K1577" i="3" s="1"/>
  <c r="K1568" i="3"/>
  <c r="K1567" i="3"/>
  <c r="G1566" i="3"/>
  <c r="E1566" i="3"/>
  <c r="K1565" i="3"/>
  <c r="J1551" i="3"/>
  <c r="E1546" i="3"/>
  <c r="I1546" i="3" s="1"/>
  <c r="K1546" i="3" s="1"/>
  <c r="E1545" i="3"/>
  <c r="I1545" i="3" s="1"/>
  <c r="K1545" i="3" s="1"/>
  <c r="E1544" i="3"/>
  <c r="I1544" i="3" s="1"/>
  <c r="K1544" i="3" s="1"/>
  <c r="G1543" i="3"/>
  <c r="E1543" i="3"/>
  <c r="E1542" i="3"/>
  <c r="I1542" i="3" s="1"/>
  <c r="K1542" i="3" s="1"/>
  <c r="G1541" i="3"/>
  <c r="E1541" i="3"/>
  <c r="I1540" i="3"/>
  <c r="K1540" i="3" s="1"/>
  <c r="E1539" i="3"/>
  <c r="I1539" i="3" s="1"/>
  <c r="K1539" i="3" s="1"/>
  <c r="E1538" i="3"/>
  <c r="I1538" i="3" s="1"/>
  <c r="K1538" i="3" s="1"/>
  <c r="K1537" i="3"/>
  <c r="E1536" i="3"/>
  <c r="K1536" i="3" s="1"/>
  <c r="J1522" i="3"/>
  <c r="E1517" i="3"/>
  <c r="I1517" i="3" s="1"/>
  <c r="K1517" i="3" s="1"/>
  <c r="E1516" i="3"/>
  <c r="I1516" i="3" s="1"/>
  <c r="K1516" i="3" s="1"/>
  <c r="E1515" i="3"/>
  <c r="I1515" i="3" s="1"/>
  <c r="K1515" i="3" s="1"/>
  <c r="E1514" i="3"/>
  <c r="I1514" i="3" s="1"/>
  <c r="K1514" i="3" s="1"/>
  <c r="E1513" i="3"/>
  <c r="I1513" i="3" s="1"/>
  <c r="K1513" i="3" s="1"/>
  <c r="E1512" i="3"/>
  <c r="I1512" i="3" s="1"/>
  <c r="K1512" i="3" s="1"/>
  <c r="I1511" i="3"/>
  <c r="K1511" i="3" s="1"/>
  <c r="E1510" i="3"/>
  <c r="I1510" i="3" s="1"/>
  <c r="K1510" i="3" s="1"/>
  <c r="E1509" i="3"/>
  <c r="I1509" i="3" s="1"/>
  <c r="K1509" i="3" s="1"/>
  <c r="I1508" i="3"/>
  <c r="K1508" i="3" s="1"/>
  <c r="E1507" i="3"/>
  <c r="I1507" i="3" s="1"/>
  <c r="K1507" i="3" s="1"/>
  <c r="I1502" i="3"/>
  <c r="K1502" i="3" s="1"/>
  <c r="K1503" i="3" s="1"/>
  <c r="I1497" i="3"/>
  <c r="K1497" i="3" s="1"/>
  <c r="K1498" i="3" s="1"/>
  <c r="K1492" i="3"/>
  <c r="K1493" i="3" s="1"/>
  <c r="I1487" i="3"/>
  <c r="K1487" i="3" s="1"/>
  <c r="K1488" i="3" s="1"/>
  <c r="K1482" i="3"/>
  <c r="K1483" i="3" s="1"/>
  <c r="J1468" i="3"/>
  <c r="K1463" i="3"/>
  <c r="E1462" i="3"/>
  <c r="K1462" i="3" s="1"/>
  <c r="G1461" i="3"/>
  <c r="K1461" i="3" s="1"/>
  <c r="G1460" i="3"/>
  <c r="K1460" i="3" s="1"/>
  <c r="K1458" i="3"/>
  <c r="E1457" i="3"/>
  <c r="K1457" i="3" s="1"/>
  <c r="K1456" i="3"/>
  <c r="K1451" i="3"/>
  <c r="K1452" i="3" s="1"/>
  <c r="J1447" i="3"/>
  <c r="G1442" i="3"/>
  <c r="E1442" i="3"/>
  <c r="G1441" i="3"/>
  <c r="E1441" i="3"/>
  <c r="G1440" i="3"/>
  <c r="K1440" i="3" s="1"/>
  <c r="E1439" i="3"/>
  <c r="K1439" i="3" s="1"/>
  <c r="G1438" i="3"/>
  <c r="K1438" i="3" s="1"/>
  <c r="K1437" i="3"/>
  <c r="J1433" i="3"/>
  <c r="E1431" i="3"/>
  <c r="E1430" i="3"/>
  <c r="I1429" i="3"/>
  <c r="G1429" i="3"/>
  <c r="I1428" i="3"/>
  <c r="G1428" i="3"/>
  <c r="J1424" i="3"/>
  <c r="E1422" i="3"/>
  <c r="E1421" i="3"/>
  <c r="G1420" i="3"/>
  <c r="E1420" i="3"/>
  <c r="I1419" i="3"/>
  <c r="G1419" i="3"/>
  <c r="I1418" i="3"/>
  <c r="J1404" i="3"/>
  <c r="E1401" i="3"/>
  <c r="E1400" i="3"/>
  <c r="I1399" i="3"/>
  <c r="I1398" i="3"/>
  <c r="E1397" i="3"/>
  <c r="E1396" i="3"/>
  <c r="I1395" i="3"/>
  <c r="G1395" i="3"/>
  <c r="E1395" i="3"/>
  <c r="I1394" i="3"/>
  <c r="I1393" i="3"/>
  <c r="J1375" i="3"/>
  <c r="I1372" i="3"/>
  <c r="K1372" i="3" s="1"/>
  <c r="J1371" i="3"/>
  <c r="E1371" i="3"/>
  <c r="G1371" i="3" s="1"/>
  <c r="J1370" i="3"/>
  <c r="E1370" i="3"/>
  <c r="G1370" i="3" s="1"/>
  <c r="E1364" i="3"/>
  <c r="E1363" i="3"/>
  <c r="I1362" i="3"/>
  <c r="J1358" i="3"/>
  <c r="I1356" i="3"/>
  <c r="G1356" i="3"/>
  <c r="E1356" i="3"/>
  <c r="E1355" i="3"/>
  <c r="E1354" i="3"/>
  <c r="E1353" i="3"/>
  <c r="I1352" i="3"/>
  <c r="I1351" i="3"/>
  <c r="G1351" i="3"/>
  <c r="I1350" i="3"/>
  <c r="I1349" i="3"/>
  <c r="I1348" i="3"/>
  <c r="G1348" i="3"/>
  <c r="I1347" i="3"/>
  <c r="I1346" i="3"/>
  <c r="G1346" i="3"/>
  <c r="E1346" i="3"/>
  <c r="I1345" i="3"/>
  <c r="G1345" i="3"/>
  <c r="E1345" i="3"/>
  <c r="I1344" i="3"/>
  <c r="G1344" i="3"/>
  <c r="I1343" i="3"/>
  <c r="I1342" i="3"/>
  <c r="I1341" i="3"/>
  <c r="G1341" i="3"/>
  <c r="G1334" i="3"/>
  <c r="E1334" i="3"/>
  <c r="E1333" i="3"/>
  <c r="I1332" i="3"/>
  <c r="I1331" i="3"/>
  <c r="I1330" i="3"/>
  <c r="I1329" i="3"/>
  <c r="I1328" i="3"/>
  <c r="G1328" i="3"/>
  <c r="I1327" i="3"/>
  <c r="I1326" i="3"/>
  <c r="I1325" i="3"/>
  <c r="G1325" i="3"/>
  <c r="J1320" i="3"/>
  <c r="I1318" i="3"/>
  <c r="G1318" i="3"/>
  <c r="I1317" i="3"/>
  <c r="E1317" i="3"/>
  <c r="E1316" i="3"/>
  <c r="E1315" i="3"/>
  <c r="E1314" i="3"/>
  <c r="I1313" i="3"/>
  <c r="I1312" i="3"/>
  <c r="G1312" i="3"/>
  <c r="I1311" i="3"/>
  <c r="I1310" i="3"/>
  <c r="I1309" i="3"/>
  <c r="G1309" i="3"/>
  <c r="I1308" i="3"/>
  <c r="I1307" i="3"/>
  <c r="I1306" i="3"/>
  <c r="G1306" i="3"/>
  <c r="E1299" i="3"/>
  <c r="I1298" i="3"/>
  <c r="I1297" i="3"/>
  <c r="G1297" i="3"/>
  <c r="I1296" i="3"/>
  <c r="J1292" i="3"/>
  <c r="I1290" i="3"/>
  <c r="I1289" i="3"/>
  <c r="G1289" i="3"/>
  <c r="I1288" i="3"/>
  <c r="E1288" i="3"/>
  <c r="E1287" i="3"/>
  <c r="E1286" i="3"/>
  <c r="E1285" i="3"/>
  <c r="I1284" i="3"/>
  <c r="I1283" i="3"/>
  <c r="I1282" i="3"/>
  <c r="I1281" i="3"/>
  <c r="I1280" i="3"/>
  <c r="G1280" i="3"/>
  <c r="E1280" i="3"/>
  <c r="I1279" i="3"/>
  <c r="G1279" i="3"/>
  <c r="I1278" i="3"/>
  <c r="I1277" i="3"/>
  <c r="I1276" i="3"/>
  <c r="G1276" i="3"/>
  <c r="J1271" i="3"/>
  <c r="E1269" i="3"/>
  <c r="I1268" i="3"/>
  <c r="I1267" i="3"/>
  <c r="E1266" i="3"/>
  <c r="J1262" i="3"/>
  <c r="I1260" i="3"/>
  <c r="E1260" i="3"/>
  <c r="E1259" i="3"/>
  <c r="E1258" i="3"/>
  <c r="E1257" i="3"/>
  <c r="I1256" i="3"/>
  <c r="I1255" i="3"/>
  <c r="I1254" i="3"/>
  <c r="I1253" i="3"/>
  <c r="I1252" i="3"/>
  <c r="G1252" i="3"/>
  <c r="I1251" i="3"/>
  <c r="I1250" i="3"/>
  <c r="G1250" i="3"/>
  <c r="E1250" i="3"/>
  <c r="I1249" i="3"/>
  <c r="G1249" i="3"/>
  <c r="E1249" i="3"/>
  <c r="I1248" i="3"/>
  <c r="G1248" i="3"/>
  <c r="I1247" i="3"/>
  <c r="I1246" i="3"/>
  <c r="I1245" i="3"/>
  <c r="G1245" i="3"/>
  <c r="J1240" i="3"/>
  <c r="I1238" i="3"/>
  <c r="E1238" i="3"/>
  <c r="E1237" i="3"/>
  <c r="I1236" i="3"/>
  <c r="G1236" i="3"/>
  <c r="E1235" i="3"/>
  <c r="I1234" i="3"/>
  <c r="G1234" i="3"/>
  <c r="E1234" i="3"/>
  <c r="E1233" i="3"/>
  <c r="E1232" i="3"/>
  <c r="I1231" i="3"/>
  <c r="I1230" i="3"/>
  <c r="I1229" i="3"/>
  <c r="I1228" i="3"/>
  <c r="I1227" i="3"/>
  <c r="G1227" i="3"/>
  <c r="J1223" i="3"/>
  <c r="I1221" i="3"/>
  <c r="G1221" i="3"/>
  <c r="E1220" i="3"/>
  <c r="E1219" i="3"/>
  <c r="I1218" i="3"/>
  <c r="G1218" i="3"/>
  <c r="I1217" i="3"/>
  <c r="G1217" i="3"/>
  <c r="I1216" i="3"/>
  <c r="I1215" i="3"/>
  <c r="I1214" i="3"/>
  <c r="G1214" i="3"/>
  <c r="I1213" i="3"/>
  <c r="I1212" i="3"/>
  <c r="G1212" i="3"/>
  <c r="E1212" i="3"/>
  <c r="I1211" i="3"/>
  <c r="G1211" i="3"/>
  <c r="E1211" i="3"/>
  <c r="I1210" i="3"/>
  <c r="G1210" i="3"/>
  <c r="I1209" i="3"/>
  <c r="I1208" i="3"/>
  <c r="I1207" i="3"/>
  <c r="G1207" i="3"/>
  <c r="J1202" i="3"/>
  <c r="E1200" i="3"/>
  <c r="E1199" i="3"/>
  <c r="I1198" i="3"/>
  <c r="G1198" i="3"/>
  <c r="I1197" i="3"/>
  <c r="I1196" i="3"/>
  <c r="G1196" i="3"/>
  <c r="I1195" i="3"/>
  <c r="I1194" i="3"/>
  <c r="I1193" i="3"/>
  <c r="G1193" i="3"/>
  <c r="J1188" i="3"/>
  <c r="G1185" i="3"/>
  <c r="E1185" i="3"/>
  <c r="I1184" i="3"/>
  <c r="G1184" i="3"/>
  <c r="I1183" i="3"/>
  <c r="I1182" i="3"/>
  <c r="I1181" i="3"/>
  <c r="I1180" i="3"/>
  <c r="G1180" i="3"/>
  <c r="J1165" i="3"/>
  <c r="I1162" i="3"/>
  <c r="E1162" i="3"/>
  <c r="E1161" i="3"/>
  <c r="I1160" i="3"/>
  <c r="G1160" i="3"/>
  <c r="E1159" i="3"/>
  <c r="I1158" i="3"/>
  <c r="G1158" i="3"/>
  <c r="E1157" i="3"/>
  <c r="I1156" i="3"/>
  <c r="G1156" i="3"/>
  <c r="I1155" i="3"/>
  <c r="I1154" i="3"/>
  <c r="I1153" i="3"/>
  <c r="I1152" i="3"/>
  <c r="G1152" i="3"/>
  <c r="I1151" i="3"/>
  <c r="I1150" i="3"/>
  <c r="G1150" i="3"/>
  <c r="E1150" i="3"/>
  <c r="I1149" i="3"/>
  <c r="G1149" i="3"/>
  <c r="E1149" i="3"/>
  <c r="I1148" i="3"/>
  <c r="G1148" i="3"/>
  <c r="I1147" i="3"/>
  <c r="I1146" i="3"/>
  <c r="I1145" i="3"/>
  <c r="G1145" i="3"/>
  <c r="J1140" i="3"/>
  <c r="I1138" i="3"/>
  <c r="E1138" i="3"/>
  <c r="E1137" i="3"/>
  <c r="I1136" i="3"/>
  <c r="E1135" i="3"/>
  <c r="I1134" i="3"/>
  <c r="G1134" i="3"/>
  <c r="E1133" i="3"/>
  <c r="I1132" i="3"/>
  <c r="I1131" i="3"/>
  <c r="I1130" i="3"/>
  <c r="I1129" i="3"/>
  <c r="I1128" i="3"/>
  <c r="G1128" i="3"/>
  <c r="I1127" i="3"/>
  <c r="I1126" i="3"/>
  <c r="G1126" i="3"/>
  <c r="E1126" i="3"/>
  <c r="I1125" i="3"/>
  <c r="G1125" i="3"/>
  <c r="E1125" i="3"/>
  <c r="I1124" i="3"/>
  <c r="G1124" i="3"/>
  <c r="I1123" i="3"/>
  <c r="I1122" i="3"/>
  <c r="I1121" i="3"/>
  <c r="G1121" i="3"/>
  <c r="E1114" i="3"/>
  <c r="E1113" i="3"/>
  <c r="I1112" i="3"/>
  <c r="G1112" i="3"/>
  <c r="I1111" i="3"/>
  <c r="G1111" i="3"/>
  <c r="E1110" i="3"/>
  <c r="I1109" i="3"/>
  <c r="G1109" i="3"/>
  <c r="I1108" i="3"/>
  <c r="I1107" i="3"/>
  <c r="I1106" i="3"/>
  <c r="I1105" i="3"/>
  <c r="G1105" i="3"/>
  <c r="I1104" i="3"/>
  <c r="I1103" i="3"/>
  <c r="G1103" i="3"/>
  <c r="E1103" i="3"/>
  <c r="I1102" i="3"/>
  <c r="I1101" i="3"/>
  <c r="I1100" i="3"/>
  <c r="G1100" i="3"/>
  <c r="J1095" i="3"/>
  <c r="E1093" i="3"/>
  <c r="E1092" i="3"/>
  <c r="E1085" i="3"/>
  <c r="E1084" i="3"/>
  <c r="I1083" i="3"/>
  <c r="G1083" i="3"/>
  <c r="I1082" i="3"/>
  <c r="G1082" i="3"/>
  <c r="E1081" i="3"/>
  <c r="I1080" i="3"/>
  <c r="G1080" i="3"/>
  <c r="I1079" i="3"/>
  <c r="G1079" i="3"/>
  <c r="I1078" i="3"/>
  <c r="I1077" i="3"/>
  <c r="I1076" i="3"/>
  <c r="I1075" i="3"/>
  <c r="I1074" i="3"/>
  <c r="G1074" i="3"/>
  <c r="E1074" i="3"/>
  <c r="I1073" i="3"/>
  <c r="G1073" i="3"/>
  <c r="E1073" i="3"/>
  <c r="I1072" i="3"/>
  <c r="G1072" i="3"/>
  <c r="I1071" i="3"/>
  <c r="I1070" i="3"/>
  <c r="I1069" i="3"/>
  <c r="G1069" i="3"/>
  <c r="J1064" i="3"/>
  <c r="E1062" i="3"/>
  <c r="E1061" i="3"/>
  <c r="I1060" i="3"/>
  <c r="G1060" i="3"/>
  <c r="E1059" i="3"/>
  <c r="I1058" i="3"/>
  <c r="G1058" i="3"/>
  <c r="I1057" i="3"/>
  <c r="I1056" i="3"/>
  <c r="I1055" i="3"/>
  <c r="I1054" i="3"/>
  <c r="G1054" i="3"/>
  <c r="J1049" i="3"/>
  <c r="E1047" i="3"/>
  <c r="E1046" i="3"/>
  <c r="I1045" i="3"/>
  <c r="G1045" i="3"/>
  <c r="E1044" i="3"/>
  <c r="I1043" i="3"/>
  <c r="G1043" i="3"/>
  <c r="I1042" i="3"/>
  <c r="I1041" i="3"/>
  <c r="I1040" i="3"/>
  <c r="I1039" i="3"/>
  <c r="G1039" i="3"/>
  <c r="I1038" i="3"/>
  <c r="I1037" i="3"/>
  <c r="G1037" i="3"/>
  <c r="E1037" i="3"/>
  <c r="I1036" i="3"/>
  <c r="G1036" i="3"/>
  <c r="J1031" i="3"/>
  <c r="E1029" i="3"/>
  <c r="I1028" i="3"/>
  <c r="E1028" i="3"/>
  <c r="I1027" i="3"/>
  <c r="I1026" i="3"/>
  <c r="I1025" i="3"/>
  <c r="I1024" i="3"/>
  <c r="I1023" i="3"/>
  <c r="G1023" i="3"/>
  <c r="I1022" i="3"/>
  <c r="I1021" i="3"/>
  <c r="G1021" i="3"/>
  <c r="E1021" i="3"/>
  <c r="I1020" i="3"/>
  <c r="G1020" i="3"/>
  <c r="I1004" i="3"/>
  <c r="E1004" i="3"/>
  <c r="I1003" i="3"/>
  <c r="E1003" i="3"/>
  <c r="I1002" i="3"/>
  <c r="E1002" i="3"/>
  <c r="J998" i="3"/>
  <c r="E996" i="3"/>
  <c r="E995" i="3"/>
  <c r="G994" i="3"/>
  <c r="E994" i="3"/>
  <c r="I993" i="3"/>
  <c r="J989" i="3"/>
  <c r="G987" i="3"/>
  <c r="E987" i="3"/>
  <c r="G986" i="3"/>
  <c r="E986" i="3"/>
  <c r="E985" i="3"/>
  <c r="E979" i="3"/>
  <c r="E978" i="3"/>
  <c r="I977" i="3"/>
  <c r="G977" i="3"/>
  <c r="I976" i="3"/>
  <c r="I975" i="3"/>
  <c r="G975" i="3"/>
  <c r="I974" i="3"/>
  <c r="I973" i="3"/>
  <c r="I972" i="3"/>
  <c r="G972" i="3"/>
  <c r="I971" i="3"/>
  <c r="I970" i="3"/>
  <c r="G970" i="3"/>
  <c r="E970" i="3"/>
  <c r="I969" i="3"/>
  <c r="G969" i="3"/>
  <c r="I968" i="3"/>
  <c r="G968" i="3"/>
  <c r="I967" i="3"/>
  <c r="G967" i="3"/>
  <c r="G960" i="3"/>
  <c r="E960" i="3"/>
  <c r="E959" i="3"/>
  <c r="I958" i="3"/>
  <c r="G958" i="3"/>
  <c r="I957" i="3"/>
  <c r="I956" i="3"/>
  <c r="I955" i="3"/>
  <c r="I954" i="3"/>
  <c r="G954" i="3"/>
  <c r="J950" i="3"/>
  <c r="E948" i="3"/>
  <c r="I947" i="3"/>
  <c r="G947" i="3"/>
  <c r="I946" i="3"/>
  <c r="I945" i="3"/>
  <c r="I944" i="3"/>
  <c r="I943" i="3"/>
  <c r="I942" i="3"/>
  <c r="G942" i="3"/>
  <c r="I941" i="3"/>
  <c r="I940" i="3"/>
  <c r="G940" i="3"/>
  <c r="E940" i="3"/>
  <c r="I939" i="3"/>
  <c r="G939" i="3"/>
  <c r="E932" i="3"/>
  <c r="I931" i="3"/>
  <c r="E931" i="3"/>
  <c r="I930" i="3"/>
  <c r="I929" i="3"/>
  <c r="J925" i="3"/>
  <c r="E923" i="3"/>
  <c r="G922" i="3"/>
  <c r="E922" i="3"/>
  <c r="I921" i="3"/>
  <c r="I920" i="3"/>
  <c r="I919" i="3"/>
  <c r="I918" i="3"/>
  <c r="I917" i="3"/>
  <c r="G917" i="3"/>
  <c r="J913" i="3"/>
  <c r="E911" i="3"/>
  <c r="E910" i="3"/>
  <c r="I909" i="3"/>
  <c r="R908" i="3"/>
  <c r="I908" i="3"/>
  <c r="G908" i="3"/>
  <c r="R907" i="3"/>
  <c r="I1266" i="3" s="1"/>
  <c r="I907" i="3"/>
  <c r="R906" i="3"/>
  <c r="I1257" i="3" s="1"/>
  <c r="I906" i="3"/>
  <c r="R905" i="3"/>
  <c r="I1401" i="3" s="1"/>
  <c r="I905" i="3"/>
  <c r="R904" i="3"/>
  <c r="I904" i="3"/>
  <c r="G904" i="3"/>
  <c r="R903" i="3"/>
  <c r="I1397" i="3" s="1"/>
  <c r="S902" i="3"/>
  <c r="J1398" i="3" s="1"/>
  <c r="S901" i="3"/>
  <c r="J882" i="3" s="1"/>
  <c r="S900" i="3"/>
  <c r="P900" i="3"/>
  <c r="E909" i="3" s="1"/>
  <c r="J900" i="3"/>
  <c r="S899" i="3"/>
  <c r="P899" i="3"/>
  <c r="S898" i="3"/>
  <c r="J1152" i="3" s="1"/>
  <c r="P898" i="3"/>
  <c r="E1348" i="3" s="1"/>
  <c r="E898" i="3"/>
  <c r="S897" i="3"/>
  <c r="J931" i="3" s="1"/>
  <c r="E897" i="3"/>
  <c r="S896" i="3"/>
  <c r="P896" i="3"/>
  <c r="E1058" i="3" s="1"/>
  <c r="I896" i="3"/>
  <c r="S895" i="3"/>
  <c r="J1026" i="3" s="1"/>
  <c r="P895" i="3"/>
  <c r="I895" i="3"/>
  <c r="S894" i="3"/>
  <c r="J1078" i="3" s="1"/>
  <c r="P894" i="3"/>
  <c r="E1107" i="3" s="1"/>
  <c r="I894" i="3"/>
  <c r="I893" i="3"/>
  <c r="S892" i="3"/>
  <c r="J1343" i="3" s="1"/>
  <c r="P892" i="3"/>
  <c r="E1394" i="3" s="1"/>
  <c r="I892" i="3"/>
  <c r="S891" i="3"/>
  <c r="J1022" i="3" s="1"/>
  <c r="P891" i="3"/>
  <c r="E1329" i="3" s="1"/>
  <c r="I891" i="3"/>
  <c r="G891" i="3"/>
  <c r="S890" i="3"/>
  <c r="J905" i="3" s="1"/>
  <c r="P890" i="3"/>
  <c r="E892" i="3" s="1"/>
  <c r="S889" i="3"/>
  <c r="J947" i="3" s="1"/>
  <c r="P889" i="3"/>
  <c r="E977" i="3" s="1"/>
  <c r="S888" i="3"/>
  <c r="S887" i="3"/>
  <c r="J1248" i="3" s="1"/>
  <c r="P887" i="3"/>
  <c r="S886" i="3"/>
  <c r="J1429" i="3" s="1"/>
  <c r="P886" i="3"/>
  <c r="E1418" i="3" s="1"/>
  <c r="S885" i="3"/>
  <c r="J872" i="3" s="1"/>
  <c r="P885" i="3"/>
  <c r="E1136" i="3" s="1"/>
  <c r="E885" i="3"/>
  <c r="S884" i="3"/>
  <c r="J1162" i="3" s="1"/>
  <c r="E884" i="3"/>
  <c r="S883" i="3"/>
  <c r="J1234" i="3" s="1"/>
  <c r="I883" i="3"/>
  <c r="I882" i="3"/>
  <c r="E882" i="3"/>
  <c r="I881" i="3"/>
  <c r="J877" i="3"/>
  <c r="E873" i="3"/>
  <c r="I871" i="3"/>
  <c r="I870" i="3"/>
  <c r="G870" i="3"/>
  <c r="I869" i="3"/>
  <c r="I868" i="3"/>
  <c r="E868" i="3"/>
  <c r="I867" i="3"/>
  <c r="G867" i="3"/>
  <c r="K858" i="3"/>
  <c r="K857" i="3"/>
  <c r="K856" i="3"/>
  <c r="I851" i="3"/>
  <c r="K851" i="3" s="1"/>
  <c r="K852" i="3" s="1"/>
  <c r="I846" i="3"/>
  <c r="K846" i="3" s="1"/>
  <c r="I845" i="3"/>
  <c r="G845" i="3"/>
  <c r="I840" i="3"/>
  <c r="K840" i="3" s="1"/>
  <c r="K841" i="3" s="1"/>
  <c r="I835" i="3"/>
  <c r="K835" i="3" s="1"/>
  <c r="I834" i="3"/>
  <c r="K834" i="3" s="1"/>
  <c r="I833" i="3"/>
  <c r="K833" i="3" s="1"/>
  <c r="I832" i="3"/>
  <c r="K832" i="3" s="1"/>
  <c r="I831" i="3"/>
  <c r="K831" i="3" s="1"/>
  <c r="J827" i="3"/>
  <c r="G822" i="3"/>
  <c r="K822" i="3" s="1"/>
  <c r="G821" i="3"/>
  <c r="K821" i="3" s="1"/>
  <c r="K815" i="3"/>
  <c r="K816" i="3" s="1"/>
  <c r="I810" i="3"/>
  <c r="K810" i="3" s="1"/>
  <c r="I809" i="3"/>
  <c r="K809" i="3" s="1"/>
  <c r="K804" i="3"/>
  <c r="K805" i="3" s="1"/>
  <c r="K799" i="3"/>
  <c r="K800" i="3" s="1"/>
  <c r="K794" i="3"/>
  <c r="K795" i="3" s="1"/>
  <c r="K789" i="3"/>
  <c r="K790" i="3" s="1"/>
  <c r="I784" i="3"/>
  <c r="K784" i="3" s="1"/>
  <c r="K785" i="3" s="1"/>
  <c r="K779" i="3"/>
  <c r="K780" i="3" s="1"/>
  <c r="I774" i="3"/>
  <c r="K774" i="3" s="1"/>
  <c r="K775" i="3" s="1"/>
  <c r="K769" i="3"/>
  <c r="K770" i="3" s="1"/>
  <c r="K764" i="3"/>
  <c r="K765" i="3" s="1"/>
  <c r="E756" i="3"/>
  <c r="K756" i="3" s="1"/>
  <c r="E755" i="3"/>
  <c r="K755" i="3" s="1"/>
  <c r="J740" i="3"/>
  <c r="E735" i="3"/>
  <c r="K735" i="3" s="1"/>
  <c r="G734" i="3"/>
  <c r="E734" i="3"/>
  <c r="G733" i="3"/>
  <c r="K733" i="3" s="1"/>
  <c r="K725" i="3"/>
  <c r="K728" i="3" s="1"/>
  <c r="J721" i="3"/>
  <c r="E716" i="3"/>
  <c r="K716" i="3" s="1"/>
  <c r="K720" i="3" s="1"/>
  <c r="E708" i="3"/>
  <c r="K708" i="3" s="1"/>
  <c r="K711" i="3" s="1"/>
  <c r="I702" i="3"/>
  <c r="K702" i="3" s="1"/>
  <c r="I701" i="3"/>
  <c r="K701" i="3" s="1"/>
  <c r="I700" i="3"/>
  <c r="K700" i="3" s="1"/>
  <c r="I699" i="3"/>
  <c r="K699" i="3" s="1"/>
  <c r="J695" i="3"/>
  <c r="E691" i="3"/>
  <c r="K691" i="3" s="1"/>
  <c r="K694" i="3" s="1"/>
  <c r="I682" i="3"/>
  <c r="K682" i="3" s="1"/>
  <c r="K683" i="3" s="1"/>
  <c r="I673" i="3"/>
  <c r="K673" i="3" s="1"/>
  <c r="K674" i="3" s="1"/>
  <c r="K666" i="3"/>
  <c r="I665" i="3"/>
  <c r="K665" i="3" s="1"/>
  <c r="I664" i="3"/>
  <c r="K664" i="3" s="1"/>
  <c r="I659" i="3"/>
  <c r="K659" i="3" s="1"/>
  <c r="I658" i="3"/>
  <c r="K658" i="3" s="1"/>
  <c r="I657" i="3"/>
  <c r="K657" i="3" s="1"/>
  <c r="I652" i="3"/>
  <c r="K652" i="3" s="1"/>
  <c r="K653" i="3" s="1"/>
  <c r="E632" i="3"/>
  <c r="K632" i="3" s="1"/>
  <c r="E631" i="3"/>
  <c r="K631" i="3" s="1"/>
  <c r="K630" i="3"/>
  <c r="K629" i="3"/>
  <c r="E624" i="3"/>
  <c r="I622" i="3"/>
  <c r="K622" i="3" s="1"/>
  <c r="I621" i="3"/>
  <c r="K621" i="3" s="1"/>
  <c r="I620" i="3"/>
  <c r="K620" i="3" s="1"/>
  <c r="E611" i="3"/>
  <c r="K611" i="3" s="1"/>
  <c r="K610" i="3"/>
  <c r="K609" i="3"/>
  <c r="E608" i="3"/>
  <c r="K608" i="3" s="1"/>
  <c r="E607" i="3"/>
  <c r="K607" i="3" s="1"/>
  <c r="I602" i="3"/>
  <c r="K602" i="3" s="1"/>
  <c r="I601" i="3"/>
  <c r="K601" i="3" s="1"/>
  <c r="I600" i="3"/>
  <c r="K600" i="3" s="1"/>
  <c r="K591" i="3"/>
  <c r="E590" i="3"/>
  <c r="K590" i="3" s="1"/>
  <c r="K589" i="3"/>
  <c r="K588" i="3"/>
  <c r="K587" i="3"/>
  <c r="I577" i="3"/>
  <c r="I576" i="3"/>
  <c r="I575" i="3"/>
  <c r="G569" i="3"/>
  <c r="K569" i="3" s="1"/>
  <c r="K570" i="3" s="1"/>
  <c r="K564" i="3"/>
  <c r="E564" i="3"/>
  <c r="J558" i="3"/>
  <c r="E558" i="3"/>
  <c r="K559" i="3" s="1"/>
  <c r="I551" i="3"/>
  <c r="K551" i="3" s="1"/>
  <c r="K552" i="3" s="1"/>
  <c r="I546" i="3"/>
  <c r="K546" i="3" s="1"/>
  <c r="I545" i="3"/>
  <c r="K545" i="3" s="1"/>
  <c r="I544" i="3"/>
  <c r="K544" i="3" s="1"/>
  <c r="I543" i="3"/>
  <c r="K543" i="3" s="1"/>
  <c r="I542" i="3"/>
  <c r="K542" i="3" s="1"/>
  <c r="I541" i="3"/>
  <c r="K541" i="3" s="1"/>
  <c r="I540" i="3"/>
  <c r="K540" i="3" s="1"/>
  <c r="I539" i="3"/>
  <c r="K539" i="3" s="1"/>
  <c r="J526" i="3"/>
  <c r="K521" i="3"/>
  <c r="G520" i="3"/>
  <c r="K520" i="3" s="1"/>
  <c r="K519" i="3"/>
  <c r="I514" i="3"/>
  <c r="K514" i="3" s="1"/>
  <c r="K515" i="3" s="1"/>
  <c r="K509" i="3"/>
  <c r="K510" i="3" s="1"/>
  <c r="K490" i="3"/>
  <c r="E489" i="3"/>
  <c r="G489" i="3" s="1"/>
  <c r="K489" i="3" s="1"/>
  <c r="E488" i="3"/>
  <c r="G488" i="3" s="1"/>
  <c r="K488" i="3" s="1"/>
  <c r="E487" i="3"/>
  <c r="G487" i="3" s="1"/>
  <c r="K487" i="3" s="1"/>
  <c r="E486" i="3"/>
  <c r="G486" i="3" s="1"/>
  <c r="K486" i="3" s="1"/>
  <c r="E485" i="3"/>
  <c r="K485" i="3" s="1"/>
  <c r="E484" i="3"/>
  <c r="K484" i="3" s="1"/>
  <c r="K483" i="3"/>
  <c r="J470" i="3"/>
  <c r="K465" i="3"/>
  <c r="K464" i="3"/>
  <c r="J460" i="3"/>
  <c r="K455" i="3"/>
  <c r="K454" i="3"/>
  <c r="K448" i="3"/>
  <c r="K449" i="3" s="1"/>
  <c r="K439" i="3"/>
  <c r="K438" i="3"/>
  <c r="E433" i="3"/>
  <c r="I432" i="3"/>
  <c r="K432" i="3" s="1"/>
  <c r="I431" i="3"/>
  <c r="K431" i="3" s="1"/>
  <c r="I426" i="3"/>
  <c r="K426" i="3" s="1"/>
  <c r="K427" i="3" s="1"/>
  <c r="K421" i="3"/>
  <c r="K422" i="3" s="1"/>
  <c r="K416" i="3"/>
  <c r="K417" i="3" s="1"/>
  <c r="I411" i="3"/>
  <c r="K411" i="3" s="1"/>
  <c r="K412" i="3" s="1"/>
  <c r="K406" i="3"/>
  <c r="K407" i="3" s="1"/>
  <c r="K402" i="3"/>
  <c r="J397" i="3"/>
  <c r="E393" i="3"/>
  <c r="K393" i="3" s="1"/>
  <c r="K396" i="3" s="1"/>
  <c r="K389" i="3"/>
  <c r="E383" i="3"/>
  <c r="K384" i="3" s="1"/>
  <c r="K373" i="3"/>
  <c r="J372" i="3"/>
  <c r="J356" i="3"/>
  <c r="K353" i="3"/>
  <c r="J353" i="3"/>
  <c r="K352" i="3"/>
  <c r="J352" i="3"/>
  <c r="I351" i="3"/>
  <c r="K351" i="3" s="1"/>
  <c r="I350" i="3"/>
  <c r="K350" i="3" s="1"/>
  <c r="K342" i="3"/>
  <c r="K345" i="3" s="1"/>
  <c r="K337" i="3"/>
  <c r="K338" i="3" s="1"/>
  <c r="E319" i="3"/>
  <c r="K319" i="3" s="1"/>
  <c r="K322" i="3" s="1"/>
  <c r="I314" i="3"/>
  <c r="K314" i="3" s="1"/>
  <c r="K315" i="3" s="1"/>
  <c r="K309" i="3"/>
  <c r="K310" i="3" s="1"/>
  <c r="K303" i="3"/>
  <c r="K304" i="3" s="1"/>
  <c r="K305" i="3" s="1"/>
  <c r="K222" i="3"/>
  <c r="K223" i="3" s="1"/>
  <c r="K203" i="3"/>
  <c r="K190" i="3"/>
  <c r="K192" i="3" s="1"/>
  <c r="K175" i="3"/>
  <c r="K191" i="3" s="1"/>
  <c r="K164" i="3"/>
  <c r="K165" i="3" s="1"/>
  <c r="J164" i="3"/>
  <c r="K136" i="3"/>
  <c r="J135" i="3"/>
  <c r="K121" i="3"/>
  <c r="I95" i="3"/>
  <c r="I94" i="3"/>
  <c r="K92" i="3"/>
  <c r="K93" i="3" s="1"/>
  <c r="K95" i="3" s="1"/>
  <c r="J92" i="3"/>
  <c r="K84" i="3"/>
  <c r="K94" i="3" s="1"/>
  <c r="J83" i="3"/>
  <c r="K65" i="3"/>
  <c r="K66" i="3" s="1"/>
  <c r="J64" i="3"/>
  <c r="K45" i="3"/>
  <c r="K67" i="3" s="1"/>
  <c r="J44" i="3"/>
  <c r="K23" i="3"/>
  <c r="K24" i="3" s="1"/>
  <c r="K68" i="3" s="1"/>
  <c r="J23" i="3"/>
  <c r="K21" i="7" l="1"/>
  <c r="L21" i="7" s="1"/>
  <c r="M21" i="7" s="1"/>
  <c r="K24" i="7"/>
  <c r="L24" i="7" s="1"/>
  <c r="M24" i="7" s="1"/>
  <c r="K34" i="7"/>
  <c r="L34" i="7" s="1"/>
  <c r="M34" i="7" s="1"/>
  <c r="K6" i="7"/>
  <c r="L6" i="7" s="1"/>
  <c r="K33" i="7"/>
  <c r="L33" i="7" s="1"/>
  <c r="M33" i="7" s="1"/>
  <c r="K2361" i="3"/>
  <c r="I2550" i="3"/>
  <c r="K2550" i="3" s="1"/>
  <c r="J867" i="3"/>
  <c r="K3119" i="3"/>
  <c r="K3122" i="3" s="1"/>
  <c r="J1289" i="3"/>
  <c r="I2122" i="3"/>
  <c r="K2122" i="3" s="1"/>
  <c r="K2130" i="3" s="1"/>
  <c r="K2133" i="3" s="1"/>
  <c r="J944" i="3"/>
  <c r="K3666" i="3"/>
  <c r="K3669" i="3" s="1"/>
  <c r="K3672" i="3" s="1"/>
  <c r="K3673" i="3" s="1"/>
  <c r="K1857" i="3"/>
  <c r="K1929" i="3"/>
  <c r="K1932" i="3" s="1"/>
  <c r="K1933" i="3" s="1"/>
  <c r="K4257" i="3"/>
  <c r="K2652" i="3"/>
  <c r="K2653" i="3" s="1"/>
  <c r="K2656" i="3" s="1"/>
  <c r="K2887" i="3"/>
  <c r="K2890" i="3" s="1"/>
  <c r="K440" i="3"/>
  <c r="K443" i="3" s="1"/>
  <c r="K444" i="3" s="1"/>
  <c r="J870" i="3"/>
  <c r="K3534" i="3"/>
  <c r="K3537" i="3" s="1"/>
  <c r="K3606" i="3"/>
  <c r="K3609" i="3" s="1"/>
  <c r="J1213" i="3"/>
  <c r="I1584" i="3"/>
  <c r="K1584" i="3" s="1"/>
  <c r="J977" i="3"/>
  <c r="K977" i="3" s="1"/>
  <c r="K1398" i="3"/>
  <c r="I2591" i="3"/>
  <c r="K2591" i="3" s="1"/>
  <c r="K2598" i="3" s="1"/>
  <c r="K2601" i="3" s="1"/>
  <c r="K3202" i="3"/>
  <c r="K3205" i="3" s="1"/>
  <c r="K3206" i="3" s="1"/>
  <c r="K4325" i="3"/>
  <c r="K4328" i="3" s="1"/>
  <c r="K4329" i="3" s="1"/>
  <c r="K3504" i="3"/>
  <c r="K3507" i="3" s="1"/>
  <c r="K2798" i="3"/>
  <c r="K2801" i="3" s="1"/>
  <c r="K2802" i="3" s="1"/>
  <c r="K38" i="7"/>
  <c r="L38" i="7" s="1"/>
  <c r="M38" i="7" s="1"/>
  <c r="K9" i="7"/>
  <c r="L9" i="7" s="1"/>
  <c r="M9" i="7" s="1"/>
  <c r="K19" i="7"/>
  <c r="L19" i="7" s="1"/>
  <c r="M19" i="7" s="1"/>
  <c r="K22" i="7"/>
  <c r="L22" i="7" s="1"/>
  <c r="M22" i="7" s="1"/>
  <c r="K35" i="7"/>
  <c r="L35" i="7" s="1"/>
  <c r="M35" i="7" s="1"/>
  <c r="K10" i="7"/>
  <c r="L10" i="7" s="1"/>
  <c r="K17" i="7"/>
  <c r="L17" i="7" s="1"/>
  <c r="K20" i="7"/>
  <c r="L20" i="7" s="1"/>
  <c r="M20" i="7" s="1"/>
  <c r="K23" i="7"/>
  <c r="L23" i="7" s="1"/>
  <c r="K36" i="7"/>
  <c r="L36" i="7" s="1"/>
  <c r="M36" i="7" s="1"/>
  <c r="K8" i="7"/>
  <c r="L8" i="7" s="1"/>
  <c r="M8" i="7" s="1"/>
  <c r="K4786" i="3"/>
  <c r="R74" i="5"/>
  <c r="J1716" i="3" s="1"/>
  <c r="R83" i="5"/>
  <c r="J1901" i="3" s="1"/>
  <c r="R107" i="5"/>
  <c r="J2461" i="3" s="1"/>
  <c r="R13" i="5"/>
  <c r="J495" i="3" s="1"/>
  <c r="R21" i="5"/>
  <c r="J729" i="3" s="1"/>
  <c r="K729" i="3" s="1"/>
  <c r="R35" i="5"/>
  <c r="J981" i="3" s="1"/>
  <c r="R97" i="5"/>
  <c r="J2097" i="3" s="1"/>
  <c r="R113" i="5"/>
  <c r="J2602" i="3" s="1"/>
  <c r="R71" i="5"/>
  <c r="J1611" i="3" s="1"/>
  <c r="R98" i="5"/>
  <c r="J2134" i="3" s="1"/>
  <c r="R15" i="5"/>
  <c r="J596" i="3" s="1"/>
  <c r="R43" i="5"/>
  <c r="R96" i="5"/>
  <c r="J2085" i="3" s="1"/>
  <c r="R101" i="5"/>
  <c r="J2209" i="3" s="1"/>
  <c r="R122" i="5"/>
  <c r="J2731" i="3" s="1"/>
  <c r="R119" i="5"/>
  <c r="J2690" i="3" s="1"/>
  <c r="K4130" i="3"/>
  <c r="K1694" i="3"/>
  <c r="K4575" i="3"/>
  <c r="K2657" i="3"/>
  <c r="K3898" i="3"/>
  <c r="K4482" i="3"/>
  <c r="K4382" i="3"/>
  <c r="K3871" i="3"/>
  <c r="K4464" i="3"/>
  <c r="K747" i="3"/>
  <c r="K750" i="3" s="1"/>
  <c r="K751" i="3" s="1"/>
  <c r="K4063" i="3"/>
  <c r="I1353" i="3"/>
  <c r="K1353" i="3" s="1"/>
  <c r="K4289" i="3"/>
  <c r="K4291" i="3" s="1"/>
  <c r="K4292" i="3" s="1"/>
  <c r="K3799" i="3"/>
  <c r="K3538" i="3"/>
  <c r="K823" i="3"/>
  <c r="K826" i="3" s="1"/>
  <c r="K827" i="3" s="1"/>
  <c r="J868" i="3"/>
  <c r="K1004" i="3"/>
  <c r="J1390" i="3"/>
  <c r="I1603" i="3"/>
  <c r="K1603" i="3" s="1"/>
  <c r="K1997" i="3"/>
  <c r="K2853" i="3"/>
  <c r="K3089" i="3"/>
  <c r="K3092" i="3" s="1"/>
  <c r="K3093" i="3" s="1"/>
  <c r="K3398" i="3"/>
  <c r="K3589" i="3"/>
  <c r="K3592" i="3" s="1"/>
  <c r="K3593" i="3" s="1"/>
  <c r="K3618" i="3"/>
  <c r="K3723" i="3"/>
  <c r="K3890" i="3"/>
  <c r="K4707" i="3"/>
  <c r="K4710" i="3" s="1"/>
  <c r="K4711" i="3" s="1"/>
  <c r="K1257" i="3"/>
  <c r="J941" i="3"/>
  <c r="J1329" i="3"/>
  <c r="K1329" i="3" s="1"/>
  <c r="K1370" i="3"/>
  <c r="K1566" i="3"/>
  <c r="K1806" i="3"/>
  <c r="I1872" i="3"/>
  <c r="K1872" i="3" s="1"/>
  <c r="K1876" i="3" s="1"/>
  <c r="K1879" i="3" s="1"/>
  <c r="K1880" i="3" s="1"/>
  <c r="K2031" i="3"/>
  <c r="K3474" i="3"/>
  <c r="K3477" i="3" s="1"/>
  <c r="K3478" i="3" s="1"/>
  <c r="K3843" i="3"/>
  <c r="K3846" i="3" s="1"/>
  <c r="K4236" i="3"/>
  <c r="K456" i="3"/>
  <c r="K459" i="3" s="1"/>
  <c r="I1543" i="3"/>
  <c r="K1543" i="3" s="1"/>
  <c r="K1995" i="3"/>
  <c r="K2169" i="3"/>
  <c r="K2252" i="3"/>
  <c r="K3430" i="3"/>
  <c r="K3433" i="3" s="1"/>
  <c r="K3434" i="3" s="1"/>
  <c r="K3703" i="3"/>
  <c r="K3706" i="3" s="1"/>
  <c r="K3707" i="3" s="1"/>
  <c r="K4142" i="3"/>
  <c r="K4208" i="3"/>
  <c r="K4319" i="3"/>
  <c r="K4526" i="3"/>
  <c r="K4533" i="3" s="1"/>
  <c r="K4534" i="3" s="1"/>
  <c r="K4719" i="3"/>
  <c r="K4837" i="3"/>
  <c r="J1112" i="3"/>
  <c r="K2430" i="3"/>
  <c r="K2515" i="3"/>
  <c r="K2518" i="3" s="1"/>
  <c r="K2519" i="3" s="1"/>
  <c r="K3123" i="3"/>
  <c r="K3985" i="3"/>
  <c r="K3986" i="3" s="1"/>
  <c r="K4552" i="3"/>
  <c r="K4727" i="3"/>
  <c r="K695" i="3"/>
  <c r="E872" i="3"/>
  <c r="K872" i="3" s="1"/>
  <c r="K1965" i="3"/>
  <c r="K1969" i="3" s="1"/>
  <c r="K1972" i="3" s="1"/>
  <c r="K1973" i="3" s="1"/>
  <c r="I2123" i="3"/>
  <c r="K2123" i="3" s="1"/>
  <c r="I2152" i="3"/>
  <c r="K2152" i="3" s="1"/>
  <c r="K2706" i="3"/>
  <c r="K2709" i="3" s="1"/>
  <c r="K3040" i="3"/>
  <c r="K3043" i="3" s="1"/>
  <c r="K3044" i="3" s="1"/>
  <c r="K3749" i="3"/>
  <c r="K4079" i="3"/>
  <c r="K4082" i="3" s="1"/>
  <c r="K4083" i="3" s="1"/>
  <c r="K4205" i="3"/>
  <c r="K4733" i="3"/>
  <c r="K4736" i="3" s="1"/>
  <c r="K4737" i="3" s="1"/>
  <c r="K397" i="3"/>
  <c r="K859" i="3"/>
  <c r="K862" i="3" s="1"/>
  <c r="K863" i="3" s="1"/>
  <c r="I932" i="3"/>
  <c r="K932" i="3" s="1"/>
  <c r="E941" i="3"/>
  <c r="E955" i="3"/>
  <c r="J1041" i="3"/>
  <c r="E1245" i="3"/>
  <c r="K2201" i="3"/>
  <c r="K2630" i="3"/>
  <c r="K2844" i="3"/>
  <c r="K3668" i="3"/>
  <c r="K3855" i="3"/>
  <c r="K3925" i="3"/>
  <c r="K4336" i="3"/>
  <c r="K4339" i="3" s="1"/>
  <c r="K4340" i="3" s="1"/>
  <c r="E1207" i="3"/>
  <c r="K1459" i="3"/>
  <c r="E891" i="3"/>
  <c r="K1162" i="3"/>
  <c r="J893" i="3"/>
  <c r="J930" i="3"/>
  <c r="E967" i="3"/>
  <c r="J1038" i="3"/>
  <c r="E1070" i="3"/>
  <c r="J1180" i="3"/>
  <c r="E1216" i="3"/>
  <c r="J1310" i="3"/>
  <c r="I1601" i="3"/>
  <c r="K1601" i="3" s="1"/>
  <c r="K1994" i="3"/>
  <c r="K2454" i="3"/>
  <c r="K2641" i="3"/>
  <c r="K2644" i="3" s="1"/>
  <c r="K2645" i="3" s="1"/>
  <c r="K2877" i="3"/>
  <c r="K2880" i="3" s="1"/>
  <c r="K2881" i="3" s="1"/>
  <c r="K3014" i="3"/>
  <c r="K3212" i="3"/>
  <c r="K3215" i="3" s="1"/>
  <c r="K3216" i="3" s="1"/>
  <c r="K3280" i="3"/>
  <c r="K3283" i="3" s="1"/>
  <c r="K3284" i="3" s="1"/>
  <c r="K3681" i="3"/>
  <c r="K4306" i="3"/>
  <c r="K4308" i="3" s="1"/>
  <c r="K4311" i="3" s="1"/>
  <c r="K4312" i="3" s="1"/>
  <c r="K4499" i="3"/>
  <c r="K4502" i="3" s="1"/>
  <c r="K4503" i="3" s="1"/>
  <c r="K4831" i="3"/>
  <c r="K4834" i="3"/>
  <c r="E1325" i="3"/>
  <c r="K721" i="3"/>
  <c r="E867" i="3"/>
  <c r="K867" i="3" s="1"/>
  <c r="J869" i="3"/>
  <c r="J957" i="3"/>
  <c r="E1112" i="3"/>
  <c r="J1160" i="3"/>
  <c r="E1181" i="3"/>
  <c r="J1276" i="3"/>
  <c r="K2114" i="3"/>
  <c r="K2455" i="3"/>
  <c r="J906" i="3"/>
  <c r="J919" i="3"/>
  <c r="E939" i="3"/>
  <c r="K4138" i="3"/>
  <c r="K4813" i="3"/>
  <c r="K4816" i="3" s="1"/>
  <c r="K4817" i="3" s="1"/>
  <c r="K354" i="3"/>
  <c r="K355" i="3" s="1"/>
  <c r="K356" i="3" s="1"/>
  <c r="K522" i="3"/>
  <c r="K525" i="3" s="1"/>
  <c r="K526" i="3" s="1"/>
  <c r="K811" i="3"/>
  <c r="J894" i="3"/>
  <c r="J904" i="3"/>
  <c r="J907" i="3"/>
  <c r="J1055" i="3"/>
  <c r="E1122" i="3"/>
  <c r="J1130" i="3"/>
  <c r="E1267" i="3"/>
  <c r="E1282" i="3"/>
  <c r="K2618" i="3"/>
  <c r="K2621" i="3" s="1"/>
  <c r="K2622" i="3" s="1"/>
  <c r="K2664" i="3"/>
  <c r="K2665" i="3" s="1"/>
  <c r="K2668" i="3" s="1"/>
  <c r="K2669" i="3" s="1"/>
  <c r="K3244" i="3"/>
  <c r="K3247" i="3" s="1"/>
  <c r="K3248" i="3" s="1"/>
  <c r="K3326" i="3"/>
  <c r="K3329" i="3" s="1"/>
  <c r="K3330" i="3" s="1"/>
  <c r="K3440" i="3"/>
  <c r="K3443" i="3" s="1"/>
  <c r="K3444" i="3" s="1"/>
  <c r="K3484" i="3"/>
  <c r="K3487" i="3" s="1"/>
  <c r="K3514" i="3"/>
  <c r="K3517" i="3" s="1"/>
  <c r="K3518" i="3" s="1"/>
  <c r="K3569" i="3"/>
  <c r="K3572" i="3" s="1"/>
  <c r="K3573" i="3" s="1"/>
  <c r="K3626" i="3"/>
  <c r="K3995" i="3"/>
  <c r="K3999" i="3" s="1"/>
  <c r="K4204" i="3"/>
  <c r="K4252" i="3"/>
  <c r="K4253" i="3" s="1"/>
  <c r="K4835" i="3"/>
  <c r="K4838" i="3"/>
  <c r="J1056" i="3"/>
  <c r="K3821" i="3"/>
  <c r="K323" i="3"/>
  <c r="K634" i="3"/>
  <c r="K637" i="3" s="1"/>
  <c r="K638" i="3" s="1"/>
  <c r="K1996" i="3"/>
  <c r="K2037" i="3"/>
  <c r="K2040" i="3" s="1"/>
  <c r="K2041" i="3" s="1"/>
  <c r="K2081" i="3"/>
  <c r="K2084" i="3" s="1"/>
  <c r="K2200" i="3"/>
  <c r="K3418" i="3"/>
  <c r="K3420" i="3" s="1"/>
  <c r="K3423" i="3" s="1"/>
  <c r="K3424" i="3" s="1"/>
  <c r="K4047" i="3"/>
  <c r="K4051" i="3" s="1"/>
  <c r="K4054" i="3" s="1"/>
  <c r="K4055" i="3" s="1"/>
  <c r="K4112" i="3"/>
  <c r="K4173" i="3"/>
  <c r="K4176" i="3" s="1"/>
  <c r="K4179" i="3" s="1"/>
  <c r="K4180" i="3" s="1"/>
  <c r="K4544" i="3"/>
  <c r="K4832" i="3"/>
  <c r="J1238" i="3"/>
  <c r="K1238" i="3" s="1"/>
  <c r="E1347" i="3"/>
  <c r="E1310" i="3"/>
  <c r="E1022" i="3"/>
  <c r="K1022" i="3" s="1"/>
  <c r="E971" i="3"/>
  <c r="E1127" i="3"/>
  <c r="K4833" i="3"/>
  <c r="J1395" i="3"/>
  <c r="K1395" i="3" s="1"/>
  <c r="J895" i="3"/>
  <c r="K4431" i="3"/>
  <c r="K4434" i="3" s="1"/>
  <c r="K4435" i="3" s="1"/>
  <c r="E943" i="3"/>
  <c r="E1106" i="3"/>
  <c r="E1077" i="3"/>
  <c r="E1153" i="3"/>
  <c r="J1106" i="3"/>
  <c r="J1040" i="3"/>
  <c r="J1215" i="3"/>
  <c r="J1024" i="3"/>
  <c r="E1151" i="3"/>
  <c r="K565" i="3"/>
  <c r="E1399" i="3"/>
  <c r="E1318" i="3"/>
  <c r="E1296" i="3"/>
  <c r="E1198" i="3"/>
  <c r="E1069" i="3"/>
  <c r="E1194" i="3"/>
  <c r="E1146" i="3"/>
  <c r="E1342" i="3"/>
  <c r="E1101" i="3"/>
  <c r="I911" i="3"/>
  <c r="K911" i="3" s="1"/>
  <c r="K931" i="3"/>
  <c r="E947" i="3"/>
  <c r="K947" i="3" s="1"/>
  <c r="J1083" i="3"/>
  <c r="J1236" i="3"/>
  <c r="J1253" i="3"/>
  <c r="E1307" i="3"/>
  <c r="J1317" i="3"/>
  <c r="K1518" i="3"/>
  <c r="K1521" i="3" s="1"/>
  <c r="K1522" i="3" s="1"/>
  <c r="K1643" i="3"/>
  <c r="K1646" i="3" s="1"/>
  <c r="K1647" i="3" s="1"/>
  <c r="E1024" i="3"/>
  <c r="K2686" i="3"/>
  <c r="K2689" i="3" s="1"/>
  <c r="K346" i="3"/>
  <c r="K660" i="3"/>
  <c r="J1325" i="3"/>
  <c r="K1325" i="3" s="1"/>
  <c r="J1419" i="3"/>
  <c r="J1296" i="3"/>
  <c r="J968" i="3"/>
  <c r="J917" i="3"/>
  <c r="J1267" i="3"/>
  <c r="J1227" i="3"/>
  <c r="J954" i="3"/>
  <c r="J891" i="3"/>
  <c r="K891" i="3" s="1"/>
  <c r="J1418" i="3"/>
  <c r="K1418" i="3" s="1"/>
  <c r="J1145" i="3"/>
  <c r="J892" i="3"/>
  <c r="K892" i="3" s="1"/>
  <c r="J1330" i="3"/>
  <c r="J1154" i="3"/>
  <c r="J1254" i="3"/>
  <c r="J974" i="3"/>
  <c r="E905" i="3"/>
  <c r="K905" i="3" s="1"/>
  <c r="K1266" i="3"/>
  <c r="J939" i="3"/>
  <c r="J973" i="3"/>
  <c r="E1041" i="3"/>
  <c r="E1056" i="3"/>
  <c r="J1100" i="3"/>
  <c r="E1129" i="3"/>
  <c r="J1193" i="3"/>
  <c r="K1441" i="3"/>
  <c r="I1541" i="3"/>
  <c r="K1541" i="3" s="1"/>
  <c r="K1547" i="3" s="1"/>
  <c r="K1550" i="3" s="1"/>
  <c r="K1551" i="3" s="1"/>
  <c r="I1582" i="3"/>
  <c r="K1582" i="3" s="1"/>
  <c r="K1588" i="3" s="1"/>
  <c r="K1591" i="3" s="1"/>
  <c r="K1592" i="3" s="1"/>
  <c r="K1688" i="3"/>
  <c r="K1908" i="3"/>
  <c r="K1911" i="3" s="1"/>
  <c r="K1912" i="3" s="1"/>
  <c r="J1260" i="3"/>
  <c r="K1260" i="3" s="1"/>
  <c r="J1138" i="3"/>
  <c r="K1138" i="3" s="1"/>
  <c r="I1044" i="3"/>
  <c r="K1044" i="3" s="1"/>
  <c r="I1314" i="3"/>
  <c r="K1314" i="3" s="1"/>
  <c r="I1219" i="3"/>
  <c r="K1219" i="3" s="1"/>
  <c r="I1110" i="3"/>
  <c r="K1110" i="3" s="1"/>
  <c r="I1157" i="3"/>
  <c r="K1157" i="3" s="1"/>
  <c r="K734" i="3"/>
  <c r="K736" i="3" s="1"/>
  <c r="K739" i="3" s="1"/>
  <c r="K740" i="3" s="1"/>
  <c r="J956" i="3"/>
  <c r="K1371" i="3"/>
  <c r="K1373" i="3" s="1"/>
  <c r="K1374" i="3" s="1"/>
  <c r="K1375" i="3" s="1"/>
  <c r="K1859" i="3"/>
  <c r="K1862" i="3" s="1"/>
  <c r="K1863" i="3" s="1"/>
  <c r="K3001" i="3"/>
  <c r="K3004" i="3" s="1"/>
  <c r="K3005" i="3" s="1"/>
  <c r="K3130" i="3"/>
  <c r="K3133" i="3" s="1"/>
  <c r="K3134" i="3" s="1"/>
  <c r="E1281" i="3"/>
  <c r="E1349" i="3"/>
  <c r="K460" i="3"/>
  <c r="K712" i="3"/>
  <c r="E1351" i="3"/>
  <c r="E894" i="3"/>
  <c r="E870" i="3"/>
  <c r="J943" i="3"/>
  <c r="E1251" i="3"/>
  <c r="K2205" i="3"/>
  <c r="K2208" i="3" s="1"/>
  <c r="K2777" i="3"/>
  <c r="K2780" i="3" s="1"/>
  <c r="K2781" i="3" s="1"/>
  <c r="K1747" i="3"/>
  <c r="K1750" i="3" s="1"/>
  <c r="K1751" i="3" s="1"/>
  <c r="K2820" i="3"/>
  <c r="K2823" i="3" s="1"/>
  <c r="K2824" i="3" s="1"/>
  <c r="K3305" i="3"/>
  <c r="K3308" i="3" s="1"/>
  <c r="K3309" i="3" s="1"/>
  <c r="K4778" i="3"/>
  <c r="K466" i="3"/>
  <c r="K469" i="3" s="1"/>
  <c r="K470" i="3" s="1"/>
  <c r="K703" i="3"/>
  <c r="K704" i="3" s="1"/>
  <c r="K1003" i="3"/>
  <c r="J1281" i="3"/>
  <c r="K1442" i="3"/>
  <c r="K1897" i="3"/>
  <c r="K1900" i="3" s="1"/>
  <c r="K1981" i="3"/>
  <c r="K1984" i="3" s="1"/>
  <c r="K1985" i="3" s="1"/>
  <c r="K2059" i="3"/>
  <c r="K2062" i="3" s="1"/>
  <c r="K2063" i="3" s="1"/>
  <c r="K2479" i="3"/>
  <c r="K2861" i="3"/>
  <c r="K3610" i="3"/>
  <c r="K3656" i="3"/>
  <c r="K3659" i="3" s="1"/>
  <c r="K3660" i="3" s="1"/>
  <c r="K3782" i="3"/>
  <c r="K2291" i="3"/>
  <c r="K2294" i="3" s="1"/>
  <c r="K2295" i="3" s="1"/>
  <c r="K592" i="3"/>
  <c r="K595" i="3" s="1"/>
  <c r="K757" i="3"/>
  <c r="K760" i="3" s="1"/>
  <c r="K847" i="3"/>
  <c r="K882" i="3"/>
  <c r="K1397" i="3"/>
  <c r="K1627" i="3"/>
  <c r="K1733" i="3"/>
  <c r="K1736" i="3" s="1"/>
  <c r="K1737" i="3" s="1"/>
  <c r="K1919" i="3"/>
  <c r="K1922" i="3" s="1"/>
  <c r="K1923" i="3" s="1"/>
  <c r="K2716" i="3"/>
  <c r="K2719" i="3" s="1"/>
  <c r="K2720" i="3" s="1"/>
  <c r="K3052" i="3"/>
  <c r="K4623" i="3"/>
  <c r="K4624" i="3" s="1"/>
  <c r="K4625" i="3" s="1"/>
  <c r="K4628" i="3" s="1"/>
  <c r="K4629" i="3" s="1"/>
  <c r="K2433" i="3"/>
  <c r="I2552" i="3"/>
  <c r="K2552" i="3" s="1"/>
  <c r="K2557" i="3" s="1"/>
  <c r="K2560" i="3" s="1"/>
  <c r="K2561" i="3" s="1"/>
  <c r="K2737" i="3"/>
  <c r="K2740" i="3" s="1"/>
  <c r="K2741" i="3" s="1"/>
  <c r="K2897" i="3"/>
  <c r="K2900" i="3" s="1"/>
  <c r="K2901" i="3" s="1"/>
  <c r="K2991" i="3"/>
  <c r="K2994" i="3" s="1"/>
  <c r="K2995" i="3" s="1"/>
  <c r="K3109" i="3"/>
  <c r="K3112" i="3" s="1"/>
  <c r="K3113" i="3" s="1"/>
  <c r="K3404" i="3"/>
  <c r="K3407" i="3" s="1"/>
  <c r="K3408" i="3" s="1"/>
  <c r="K3452" i="3"/>
  <c r="K3454" i="3" s="1"/>
  <c r="K3457" i="3" s="1"/>
  <c r="K3458" i="3" s="1"/>
  <c r="K3494" i="3"/>
  <c r="K3497" i="3" s="1"/>
  <c r="K3498" i="3" s="1"/>
  <c r="K4069" i="3"/>
  <c r="K4072" i="3" s="1"/>
  <c r="K4073" i="3" s="1"/>
  <c r="K4836" i="3"/>
  <c r="K2251" i="3"/>
  <c r="K2526" i="3"/>
  <c r="K2529" i="3" s="1"/>
  <c r="K2530" i="3" s="1"/>
  <c r="K2727" i="3"/>
  <c r="K2730" i="3" s="1"/>
  <c r="K2731" i="3" s="1"/>
  <c r="K2964" i="3"/>
  <c r="K2966" i="3" s="1"/>
  <c r="K2969" i="3" s="1"/>
  <c r="K2970" i="3" s="1"/>
  <c r="K3599" i="3"/>
  <c r="K3600" i="3" s="1"/>
  <c r="K3692" i="3"/>
  <c r="K3695" i="3" s="1"/>
  <c r="K3696" i="3" s="1"/>
  <c r="K3791" i="3"/>
  <c r="K4209" i="3"/>
  <c r="K4374" i="3"/>
  <c r="K4442" i="3"/>
  <c r="K4445" i="3" s="1"/>
  <c r="K4446" i="3" s="1"/>
  <c r="K4792" i="3"/>
  <c r="K4795" i="3" s="1"/>
  <c r="K4796" i="3" s="1"/>
  <c r="K3732" i="3"/>
  <c r="K3752" i="3"/>
  <c r="K3906" i="3"/>
  <c r="K3909" i="3" s="1"/>
  <c r="K3916" i="3"/>
  <c r="K3917" i="3" s="1"/>
  <c r="K4041" i="3"/>
  <c r="K4042" i="3" s="1"/>
  <c r="K4270" i="3"/>
  <c r="K4273" i="3" s="1"/>
  <c r="K4274" i="3" s="1"/>
  <c r="K4357" i="3"/>
  <c r="K4559" i="3"/>
  <c r="K4561" i="3" s="1"/>
  <c r="K4564" i="3" s="1"/>
  <c r="K4565" i="3" s="1"/>
  <c r="K4802" i="3"/>
  <c r="K4805" i="3" s="1"/>
  <c r="K4806" i="3" s="1"/>
  <c r="K4673" i="3"/>
  <c r="K4676" i="3" s="1"/>
  <c r="K4677" i="3" s="1"/>
  <c r="K2170" i="3"/>
  <c r="K2180" i="3" s="1"/>
  <c r="K2183" i="3" s="1"/>
  <c r="K2184" i="3" s="1"/>
  <c r="K2485" i="3"/>
  <c r="K2486" i="3" s="1"/>
  <c r="K3030" i="3"/>
  <c r="K3033" i="3" s="1"/>
  <c r="K3034" i="3" s="1"/>
  <c r="K3143" i="3"/>
  <c r="K3144" i="3" s="1"/>
  <c r="K3292" i="3"/>
  <c r="K3579" i="3"/>
  <c r="K3582" i="3" s="1"/>
  <c r="K3583" i="3" s="1"/>
  <c r="K3715" i="3"/>
  <c r="K3741" i="3"/>
  <c r="K2813" i="3"/>
  <c r="K2814" i="3" s="1"/>
  <c r="K2867" i="3"/>
  <c r="K2870" i="3" s="1"/>
  <c r="K2871" i="3" s="1"/>
  <c r="K2891" i="3"/>
  <c r="K3234" i="3"/>
  <c r="K3237" i="3" s="1"/>
  <c r="K3238" i="3" s="1"/>
  <c r="K3260" i="3"/>
  <c r="K3263" i="3" s="1"/>
  <c r="K3264" i="3" s="1"/>
  <c r="K3361" i="3"/>
  <c r="K3364" i="3" s="1"/>
  <c r="K3365" i="3" s="1"/>
  <c r="K3488" i="3"/>
  <c r="K3508" i="3"/>
  <c r="K3634" i="3"/>
  <c r="K4007" i="3"/>
  <c r="K4012" i="3" s="1"/>
  <c r="K4649" i="3"/>
  <c r="K4650" i="3" s="1"/>
  <c r="K4653" i="3" s="1"/>
  <c r="K4654" i="3" s="1"/>
  <c r="K4685" i="3"/>
  <c r="K4688" i="3" s="1"/>
  <c r="K4689" i="3" s="1"/>
  <c r="K433" i="3"/>
  <c r="K434" i="3" s="1"/>
  <c r="K69" i="3"/>
  <c r="K491" i="3"/>
  <c r="K494" i="3" s="1"/>
  <c r="K612" i="3"/>
  <c r="K615" i="3" s="1"/>
  <c r="K616" i="3" s="1"/>
  <c r="K836" i="3"/>
  <c r="K667" i="3"/>
  <c r="J909" i="3"/>
  <c r="K909" i="3" s="1"/>
  <c r="J1136" i="3"/>
  <c r="K1136" i="3" s="1"/>
  <c r="J993" i="3"/>
  <c r="J921" i="3"/>
  <c r="J881" i="3"/>
  <c r="J896" i="3"/>
  <c r="K547" i="3"/>
  <c r="K623" i="3"/>
  <c r="K624" i="3" s="1"/>
  <c r="K625" i="3" s="1"/>
  <c r="K603" i="3"/>
  <c r="K868" i="3"/>
  <c r="E1328" i="3"/>
  <c r="E1268" i="3"/>
  <c r="E1210" i="3"/>
  <c r="E1158" i="3"/>
  <c r="E1020" i="3"/>
  <c r="E1297" i="3"/>
  <c r="E1279" i="3"/>
  <c r="E1248" i="3"/>
  <c r="K1248" i="3" s="1"/>
  <c r="E1111" i="3"/>
  <c r="E969" i="3"/>
  <c r="E1428" i="3"/>
  <c r="E1298" i="3"/>
  <c r="E1134" i="3"/>
  <c r="E1054" i="3"/>
  <c r="E1344" i="3"/>
  <c r="E1148" i="3"/>
  <c r="E1072" i="3"/>
  <c r="E1060" i="3"/>
  <c r="E1036" i="3"/>
  <c r="E1362" i="3"/>
  <c r="E1124" i="3"/>
  <c r="E1045" i="3"/>
  <c r="E1082" i="3"/>
  <c r="E1309" i="3"/>
  <c r="E1290" i="3"/>
  <c r="K1464" i="3"/>
  <c r="K1467" i="3" s="1"/>
  <c r="K1468" i="3" s="1"/>
  <c r="K193" i="3"/>
  <c r="K96" i="3"/>
  <c r="J1211" i="3"/>
  <c r="K1211" i="3" s="1"/>
  <c r="J1021" i="3"/>
  <c r="K1021" i="3" s="1"/>
  <c r="J1346" i="3"/>
  <c r="K1346" i="3" s="1"/>
  <c r="J1280" i="3"/>
  <c r="K1280" i="3" s="1"/>
  <c r="J1249" i="3"/>
  <c r="K1249" i="3" s="1"/>
  <c r="J1103" i="3"/>
  <c r="K1103" i="3" s="1"/>
  <c r="J1074" i="3"/>
  <c r="K1074" i="3" s="1"/>
  <c r="J1150" i="3"/>
  <c r="K1150" i="3" s="1"/>
  <c r="J1126" i="3"/>
  <c r="K1126" i="3" s="1"/>
  <c r="J1250" i="3"/>
  <c r="K1250" i="3" s="1"/>
  <c r="J970" i="3"/>
  <c r="K970" i="3" s="1"/>
  <c r="J1212" i="3"/>
  <c r="K1212" i="3" s="1"/>
  <c r="J1028" i="3"/>
  <c r="K1028" i="3" s="1"/>
  <c r="J1345" i="3"/>
  <c r="K1345" i="3" s="1"/>
  <c r="J1073" i="3"/>
  <c r="K1073" i="3" s="1"/>
  <c r="J940" i="3"/>
  <c r="K940" i="3" s="1"/>
  <c r="J1037" i="3"/>
  <c r="K1037" i="3" s="1"/>
  <c r="J1149" i="3"/>
  <c r="K1149" i="3" s="1"/>
  <c r="J1125" i="3"/>
  <c r="K1125" i="3" s="1"/>
  <c r="J1131" i="3"/>
  <c r="J1079" i="3"/>
  <c r="J1230" i="3"/>
  <c r="J1196" i="3"/>
  <c r="J1183" i="3"/>
  <c r="J955" i="3"/>
  <c r="E869" i="3"/>
  <c r="E1429" i="3"/>
  <c r="K1429" i="3" s="1"/>
  <c r="E1306" i="3"/>
  <c r="E1227" i="3"/>
  <c r="E1221" i="3"/>
  <c r="E1180" i="3"/>
  <c r="K1180" i="3" s="1"/>
  <c r="E1160" i="3"/>
  <c r="E1121" i="3"/>
  <c r="E1419" i="3"/>
  <c r="E1289" i="3"/>
  <c r="K1289" i="3" s="1"/>
  <c r="E1193" i="3"/>
  <c r="E1145" i="3"/>
  <c r="E1083" i="3"/>
  <c r="K1083" i="3" s="1"/>
  <c r="E968" i="3"/>
  <c r="E1104" i="3"/>
  <c r="E1213" i="3"/>
  <c r="E1055" i="3"/>
  <c r="K1055" i="3" s="1"/>
  <c r="E1038" i="3"/>
  <c r="E893" i="3"/>
  <c r="E1350" i="3"/>
  <c r="E1154" i="3"/>
  <c r="K1154" i="3" s="1"/>
  <c r="E1330" i="3"/>
  <c r="E1025" i="3"/>
  <c r="E896" i="3"/>
  <c r="E1215" i="3"/>
  <c r="E1040" i="3"/>
  <c r="E1253" i="3"/>
  <c r="E973" i="3"/>
  <c r="I1081" i="3"/>
  <c r="K1081" i="3" s="1"/>
  <c r="I1133" i="3"/>
  <c r="K1133" i="3" s="1"/>
  <c r="J918" i="3"/>
  <c r="J920" i="3"/>
  <c r="I922" i="3"/>
  <c r="K922" i="3" s="1"/>
  <c r="E929" i="3"/>
  <c r="E942" i="3"/>
  <c r="E954" i="3"/>
  <c r="E958" i="3"/>
  <c r="J967" i="3"/>
  <c r="J1025" i="3"/>
  <c r="I1047" i="3"/>
  <c r="K1047" i="3" s="1"/>
  <c r="I1059" i="3"/>
  <c r="K1059" i="3" s="1"/>
  <c r="J1071" i="3"/>
  <c r="E1075" i="3"/>
  <c r="E1078" i="3"/>
  <c r="K1078" i="3" s="1"/>
  <c r="E1080" i="3"/>
  <c r="E1100" i="3"/>
  <c r="E1109" i="3"/>
  <c r="E1130" i="3"/>
  <c r="K1130" i="3" s="1"/>
  <c r="E1132" i="3"/>
  <c r="J1134" i="3"/>
  <c r="I1137" i="3"/>
  <c r="K1137" i="3" s="1"/>
  <c r="J1147" i="3"/>
  <c r="J1158" i="3"/>
  <c r="J1184" i="3"/>
  <c r="J1194" i="3"/>
  <c r="I1199" i="3"/>
  <c r="K1199" i="3" s="1"/>
  <c r="E1214" i="3"/>
  <c r="I1233" i="3"/>
  <c r="K1233" i="3" s="1"/>
  <c r="J1247" i="3"/>
  <c r="I1258" i="3"/>
  <c r="K1258" i="3" s="1"/>
  <c r="E1276" i="3"/>
  <c r="K1276" i="3" s="1"/>
  <c r="E1278" i="3"/>
  <c r="I1285" i="3"/>
  <c r="K1285" i="3" s="1"/>
  <c r="J1306" i="3"/>
  <c r="E1311" i="3"/>
  <c r="I1316" i="3"/>
  <c r="K1316" i="3" s="1"/>
  <c r="J1351" i="3"/>
  <c r="J1391" i="3"/>
  <c r="K1391" i="3" s="1"/>
  <c r="J1428" i="3"/>
  <c r="K1761" i="3"/>
  <c r="K1764" i="3" s="1"/>
  <c r="K1765" i="3" s="1"/>
  <c r="I897" i="3"/>
  <c r="K897" i="3" s="1"/>
  <c r="J975" i="3"/>
  <c r="I994" i="3"/>
  <c r="K994" i="3" s="1"/>
  <c r="E871" i="3"/>
  <c r="I873" i="3"/>
  <c r="K873" i="3" s="1"/>
  <c r="E881" i="3"/>
  <c r="E883" i="3"/>
  <c r="J1389" i="3"/>
  <c r="K1389" i="3" s="1"/>
  <c r="J1356" i="3"/>
  <c r="K1356" i="3" s="1"/>
  <c r="J1341" i="3"/>
  <c r="J1198" i="3"/>
  <c r="J1399" i="3"/>
  <c r="E1326" i="3"/>
  <c r="E1208" i="3"/>
  <c r="E1393" i="3"/>
  <c r="E1277" i="3"/>
  <c r="E1246" i="3"/>
  <c r="J1251" i="3"/>
  <c r="K1251" i="3" s="1"/>
  <c r="J971" i="3"/>
  <c r="J1075" i="3"/>
  <c r="J1350" i="3"/>
  <c r="J1311" i="3"/>
  <c r="J1282" i="3"/>
  <c r="K1282" i="3" s="1"/>
  <c r="J1107" i="3"/>
  <c r="K1107" i="3" s="1"/>
  <c r="J1129" i="3"/>
  <c r="J1077" i="3"/>
  <c r="E904" i="3"/>
  <c r="E907" i="3"/>
  <c r="J908" i="3"/>
  <c r="I910" i="3"/>
  <c r="K910" i="3" s="1"/>
  <c r="E917" i="3"/>
  <c r="K917" i="3" s="1"/>
  <c r="E944" i="3"/>
  <c r="E946" i="3"/>
  <c r="E956" i="3"/>
  <c r="I960" i="3"/>
  <c r="K960" i="3" s="1"/>
  <c r="E972" i="3"/>
  <c r="E974" i="3"/>
  <c r="E976" i="3"/>
  <c r="I978" i="3"/>
  <c r="K978" i="3" s="1"/>
  <c r="K1002" i="3"/>
  <c r="J1023" i="3"/>
  <c r="J1039" i="3"/>
  <c r="J1042" i="3"/>
  <c r="J1057" i="3"/>
  <c r="J1069" i="3"/>
  <c r="K1069" i="3" s="1"/>
  <c r="I1084" i="3"/>
  <c r="K1084" i="3" s="1"/>
  <c r="I1092" i="3"/>
  <c r="K1092" i="3" s="1"/>
  <c r="J1104" i="3"/>
  <c r="J1121" i="3"/>
  <c r="J1127" i="3"/>
  <c r="J1151" i="3"/>
  <c r="J1153" i="3"/>
  <c r="I1161" i="3"/>
  <c r="K1161" i="3" s="1"/>
  <c r="J1182" i="3"/>
  <c r="J1197" i="3"/>
  <c r="J1207" i="3"/>
  <c r="J1216" i="3"/>
  <c r="K1216" i="3" s="1"/>
  <c r="J1221" i="3"/>
  <c r="E1228" i="3"/>
  <c r="E1231" i="3"/>
  <c r="E1236" i="3"/>
  <c r="J1245" i="3"/>
  <c r="E1252" i="3"/>
  <c r="E1254" i="3"/>
  <c r="E1256" i="3"/>
  <c r="J1268" i="3"/>
  <c r="E1283" i="3"/>
  <c r="J1288" i="3"/>
  <c r="K1288" i="3" s="1"/>
  <c r="J1313" i="3"/>
  <c r="J1318" i="3"/>
  <c r="I1333" i="3"/>
  <c r="K1333" i="3" s="1"/>
  <c r="E1341" i="3"/>
  <c r="J1347" i="3"/>
  <c r="J1349" i="3"/>
  <c r="K1349" i="3" s="1"/>
  <c r="I1355" i="3"/>
  <c r="K1355" i="3" s="1"/>
  <c r="K1401" i="3"/>
  <c r="K1839" i="3"/>
  <c r="K1842" i="3" s="1"/>
  <c r="K1843" i="3" s="1"/>
  <c r="K1955" i="3"/>
  <c r="K1958" i="3" s="1"/>
  <c r="K1959" i="3" s="1"/>
  <c r="J1326" i="3"/>
  <c r="J1070" i="3"/>
  <c r="J1307" i="3"/>
  <c r="K1307" i="3" s="1"/>
  <c r="J1228" i="3"/>
  <c r="J1181" i="3"/>
  <c r="J1122" i="3"/>
  <c r="K1122" i="3" s="1"/>
  <c r="E895" i="3"/>
  <c r="K895" i="3" s="1"/>
  <c r="E919" i="3"/>
  <c r="E921" i="3"/>
  <c r="J929" i="3"/>
  <c r="E993" i="3"/>
  <c r="I995" i="3"/>
  <c r="K995" i="3" s="1"/>
  <c r="E1026" i="3"/>
  <c r="K1026" i="3" s="1"/>
  <c r="I1062" i="3"/>
  <c r="K1062" i="3" s="1"/>
  <c r="E1076" i="3"/>
  <c r="J1082" i="3"/>
  <c r="J1102" i="3"/>
  <c r="J1132" i="3"/>
  <c r="J1156" i="3"/>
  <c r="J1195" i="3"/>
  <c r="J1210" i="3"/>
  <c r="K1234" i="3"/>
  <c r="J1278" i="3"/>
  <c r="J1290" i="3"/>
  <c r="I1299" i="3"/>
  <c r="K1299" i="3" s="1"/>
  <c r="K1317" i="3"/>
  <c r="J1328" i="3"/>
  <c r="E1331" i="3"/>
  <c r="J1352" i="3"/>
  <c r="I1422" i="3"/>
  <c r="K1422" i="3" s="1"/>
  <c r="K1784" i="3"/>
  <c r="K1787" i="3" s="1"/>
  <c r="K1788" i="3" s="1"/>
  <c r="J871" i="3"/>
  <c r="I874" i="3"/>
  <c r="K874" i="3" s="1"/>
  <c r="J883" i="3"/>
  <c r="I885" i="3"/>
  <c r="K885" i="3" s="1"/>
  <c r="I898" i="3"/>
  <c r="K898" i="3" s="1"/>
  <c r="I1420" i="3"/>
  <c r="K1420" i="3" s="1"/>
  <c r="I1185" i="3"/>
  <c r="K1185" i="3" s="1"/>
  <c r="I1113" i="3"/>
  <c r="K1113" i="3" s="1"/>
  <c r="I1029" i="3"/>
  <c r="K1029" i="3" s="1"/>
  <c r="I1354" i="3"/>
  <c r="K1354" i="3" s="1"/>
  <c r="I1315" i="3"/>
  <c r="K1315" i="3" s="1"/>
  <c r="I1135" i="3"/>
  <c r="K1135" i="3" s="1"/>
  <c r="I923" i="3"/>
  <c r="K923" i="3" s="1"/>
  <c r="J942" i="3"/>
  <c r="J946" i="3"/>
  <c r="I948" i="3"/>
  <c r="K948" i="3" s="1"/>
  <c r="J958" i="3"/>
  <c r="J976" i="3"/>
  <c r="I979" i="3"/>
  <c r="K979" i="3" s="1"/>
  <c r="I986" i="3"/>
  <c r="K986" i="3" s="1"/>
  <c r="E1043" i="3"/>
  <c r="J1080" i="3"/>
  <c r="I1093" i="3"/>
  <c r="K1093" i="3" s="1"/>
  <c r="E1105" i="3"/>
  <c r="I1114" i="3"/>
  <c r="K1114" i="3" s="1"/>
  <c r="I1159" i="3"/>
  <c r="K1159" i="3" s="1"/>
  <c r="E1183" i="3"/>
  <c r="I1200" i="3"/>
  <c r="K1200" i="3" s="1"/>
  <c r="J1208" i="3"/>
  <c r="J1214" i="3"/>
  <c r="E1229" i="3"/>
  <c r="J1231" i="3"/>
  <c r="J1256" i="3"/>
  <c r="J1283" i="3"/>
  <c r="I1286" i="3"/>
  <c r="K1286" i="3" s="1"/>
  <c r="J1297" i="3"/>
  <c r="E1312" i="3"/>
  <c r="J1393" i="3"/>
  <c r="E1156" i="3"/>
  <c r="E1352" i="3"/>
  <c r="E1332" i="3"/>
  <c r="E1313" i="3"/>
  <c r="E1027" i="3"/>
  <c r="E906" i="3"/>
  <c r="E930" i="3"/>
  <c r="J972" i="3"/>
  <c r="J1020" i="3"/>
  <c r="J1076" i="3"/>
  <c r="E1079" i="3"/>
  <c r="E1108" i="3"/>
  <c r="J1128" i="3"/>
  <c r="E1196" i="3"/>
  <c r="J1217" i="3"/>
  <c r="J1246" i="3"/>
  <c r="J1252" i="3"/>
  <c r="I1269" i="3"/>
  <c r="K1269" i="3" s="1"/>
  <c r="E1308" i="3"/>
  <c r="E1327" i="3"/>
  <c r="J1331" i="3"/>
  <c r="I1363" i="3"/>
  <c r="K1363" i="3" s="1"/>
  <c r="K2018" i="3"/>
  <c r="K2021" i="3" s="1"/>
  <c r="K2022" i="3" s="1"/>
  <c r="J1362" i="3"/>
  <c r="J1309" i="3"/>
  <c r="J1124" i="3"/>
  <c r="J1111" i="3"/>
  <c r="J1036" i="3"/>
  <c r="J1298" i="3"/>
  <c r="J1148" i="3"/>
  <c r="J1045" i="3"/>
  <c r="J969" i="3"/>
  <c r="J1218" i="3"/>
  <c r="J1109" i="3"/>
  <c r="J1284" i="3"/>
  <c r="J1043" i="3"/>
  <c r="E1128" i="3"/>
  <c r="E1152" i="3"/>
  <c r="K1152" i="3" s="1"/>
  <c r="I1287" i="3"/>
  <c r="K1287" i="3" s="1"/>
  <c r="I1085" i="3"/>
  <c r="K1085" i="3" s="1"/>
  <c r="I996" i="3"/>
  <c r="K996" i="3" s="1"/>
  <c r="I1431" i="3"/>
  <c r="K1431" i="3" s="1"/>
  <c r="I1259" i="3"/>
  <c r="K1259" i="3" s="1"/>
  <c r="I987" i="3"/>
  <c r="K987" i="3" s="1"/>
  <c r="E945" i="3"/>
  <c r="I959" i="3"/>
  <c r="K959" i="3" s="1"/>
  <c r="I1046" i="3"/>
  <c r="K1046" i="3" s="1"/>
  <c r="J1060" i="3"/>
  <c r="J1072" i="3"/>
  <c r="E1123" i="3"/>
  <c r="E1131" i="3"/>
  <c r="E1155" i="3"/>
  <c r="E1184" i="3"/>
  <c r="I1186" i="3"/>
  <c r="K1186" i="3" s="1"/>
  <c r="E1209" i="3"/>
  <c r="J1229" i="3"/>
  <c r="E1284" i="3"/>
  <c r="E1390" i="3"/>
  <c r="E1343" i="3"/>
  <c r="K1343" i="3" s="1"/>
  <c r="E1195" i="3"/>
  <c r="E1147" i="3"/>
  <c r="E1102" i="3"/>
  <c r="E1255" i="3"/>
  <c r="E1217" i="3"/>
  <c r="E1042" i="3"/>
  <c r="E1057" i="3"/>
  <c r="E975" i="3"/>
  <c r="E957" i="3"/>
  <c r="J1348" i="3"/>
  <c r="K1348" i="3" s="1"/>
  <c r="J1105" i="3"/>
  <c r="I1334" i="3"/>
  <c r="K1334" i="3" s="1"/>
  <c r="I985" i="3"/>
  <c r="K985" i="3" s="1"/>
  <c r="E908" i="3"/>
  <c r="E918" i="3"/>
  <c r="E920" i="3"/>
  <c r="E1023" i="3"/>
  <c r="E1039" i="3"/>
  <c r="J1058" i="3"/>
  <c r="K1058" i="3" s="1"/>
  <c r="E1071" i="3"/>
  <c r="J1108" i="3"/>
  <c r="J1146" i="3"/>
  <c r="E1218" i="3"/>
  <c r="I1220" i="3"/>
  <c r="K1220" i="3" s="1"/>
  <c r="I1232" i="3"/>
  <c r="K1232" i="3" s="1"/>
  <c r="I1237" i="3"/>
  <c r="K1237" i="3" s="1"/>
  <c r="E1247" i="3"/>
  <c r="J1277" i="3"/>
  <c r="J1279" i="3"/>
  <c r="J1308" i="3"/>
  <c r="J1312" i="3"/>
  <c r="J1327" i="3"/>
  <c r="J1332" i="3"/>
  <c r="J1344" i="3"/>
  <c r="I1396" i="3"/>
  <c r="K1396" i="3" s="1"/>
  <c r="K1569" i="3"/>
  <c r="K1572" i="3" s="1"/>
  <c r="K1573" i="3" s="1"/>
  <c r="I884" i="3"/>
  <c r="K884" i="3" s="1"/>
  <c r="J945" i="3"/>
  <c r="J1027" i="3"/>
  <c r="J1054" i="3"/>
  <c r="I1061" i="3"/>
  <c r="K1061" i="3" s="1"/>
  <c r="J1101" i="3"/>
  <c r="J1123" i="3"/>
  <c r="J1155" i="3"/>
  <c r="E1182" i="3"/>
  <c r="K1182" i="3" s="1"/>
  <c r="E1197" i="3"/>
  <c r="J1209" i="3"/>
  <c r="E1230" i="3"/>
  <c r="I1235" i="3"/>
  <c r="K1235" i="3" s="1"/>
  <c r="J1255" i="3"/>
  <c r="J1342" i="3"/>
  <c r="I1364" i="3"/>
  <c r="K1364" i="3" s="1"/>
  <c r="J1394" i="3"/>
  <c r="K1394" i="3" s="1"/>
  <c r="I1400" i="3"/>
  <c r="K1400" i="3" s="1"/>
  <c r="I1421" i="3"/>
  <c r="K1421" i="3" s="1"/>
  <c r="I1430" i="3"/>
  <c r="K1430" i="3" s="1"/>
  <c r="K1713" i="3"/>
  <c r="K1939" i="3"/>
  <c r="K1943" i="3" s="1"/>
  <c r="K1946" i="3" s="1"/>
  <c r="K1947" i="3" s="1"/>
  <c r="K2320" i="3"/>
  <c r="K2323" i="3" s="1"/>
  <c r="K2324" i="3" s="1"/>
  <c r="K2710" i="3"/>
  <c r="K3152" i="3"/>
  <c r="K3155" i="3" s="1"/>
  <c r="K3156" i="3" s="1"/>
  <c r="K3182" i="3"/>
  <c r="K3185" i="3" s="1"/>
  <c r="K3186" i="3" s="1"/>
  <c r="K2005" i="3"/>
  <c r="K2008" i="3" s="1"/>
  <c r="K2009" i="3" s="1"/>
  <c r="K2363" i="3"/>
  <c r="K2364" i="3" s="1"/>
  <c r="K2835" i="3"/>
  <c r="K2231" i="3"/>
  <c r="K2234" i="3" s="1"/>
  <c r="K2235" i="3" s="1"/>
  <c r="K2115" i="3"/>
  <c r="K2493" i="3"/>
  <c r="K2494" i="3" s="1"/>
  <c r="K2497" i="3" s="1"/>
  <c r="K2498" i="3" s="1"/>
  <c r="K3069" i="3"/>
  <c r="K3072" i="3" s="1"/>
  <c r="K3073" i="3" s="1"/>
  <c r="K2093" i="3"/>
  <c r="K2096" i="3" s="1"/>
  <c r="K2105" i="3"/>
  <c r="K2106" i="3" s="1"/>
  <c r="I2151" i="3"/>
  <c r="K2151" i="3" s="1"/>
  <c r="K2159" i="3" s="1"/>
  <c r="K2162" i="3" s="1"/>
  <c r="K2163" i="3" s="1"/>
  <c r="K2340" i="3"/>
  <c r="K2934" i="3"/>
  <c r="K2937" i="3" s="1"/>
  <c r="K2938" i="3" s="1"/>
  <c r="K3524" i="3"/>
  <c r="K3527" i="3" s="1"/>
  <c r="K3528" i="3" s="1"/>
  <c r="K3640" i="3"/>
  <c r="K3643" i="3" s="1"/>
  <c r="K3644" i="3" s="1"/>
  <c r="K4199" i="3"/>
  <c r="K3554" i="3"/>
  <c r="K3557" i="3" s="1"/>
  <c r="K3558" i="3" s="1"/>
  <c r="K3935" i="3"/>
  <c r="K3936" i="3" s="1"/>
  <c r="K3224" i="3"/>
  <c r="K3227" i="3" s="1"/>
  <c r="K3228" i="3" s="1"/>
  <c r="K3770" i="3"/>
  <c r="K3650" i="3"/>
  <c r="K3386" i="3"/>
  <c r="K3389" i="3" s="1"/>
  <c r="K3390" i="3" s="1"/>
  <c r="K3812" i="3"/>
  <c r="K4166" i="3"/>
  <c r="K4167" i="3" s="1"/>
  <c r="K3881" i="3"/>
  <c r="K3882" i="3" s="1"/>
  <c r="K4097" i="3"/>
  <c r="K4601" i="3"/>
  <c r="K4604" i="3" s="1"/>
  <c r="K4605" i="3" s="1"/>
  <c r="K13" i="7"/>
  <c r="L13" i="7" s="1"/>
  <c r="M13" i="7" s="1"/>
  <c r="K29" i="7"/>
  <c r="L29" i="7" s="1"/>
  <c r="M29" i="7" s="1"/>
  <c r="K32" i="7"/>
  <c r="L32" i="7" s="1"/>
  <c r="M32" i="7" s="1"/>
  <c r="K4154" i="3"/>
  <c r="K4155" i="3" s="1"/>
  <c r="K4158" i="3" s="1"/>
  <c r="K4159" i="3" s="1"/>
  <c r="K4259" i="3"/>
  <c r="K4262" i="3" s="1"/>
  <c r="K4263" i="3" s="1"/>
  <c r="K4410" i="3"/>
  <c r="K4413" i="3" s="1"/>
  <c r="K4414" i="3" s="1"/>
  <c r="K4613" i="3"/>
  <c r="K4614" i="3" s="1"/>
  <c r="K4363" i="3"/>
  <c r="K4754" i="3"/>
  <c r="K4757" i="3" s="1"/>
  <c r="K4758" i="3" s="1"/>
  <c r="K11" i="7"/>
  <c r="L11" i="7" s="1"/>
  <c r="M11" i="7" s="1"/>
  <c r="K5" i="7"/>
  <c r="L5" i="7" s="1"/>
  <c r="M5" i="7" s="1"/>
  <c r="K37" i="7"/>
  <c r="L37" i="7" s="1"/>
  <c r="M37" i="7" s="1"/>
  <c r="K4300" i="3"/>
  <c r="K12" i="7"/>
  <c r="L12" i="7" s="1"/>
  <c r="M12" i="7" s="1"/>
  <c r="K28" i="7"/>
  <c r="L28" i="7" s="1"/>
  <c r="M28" i="7" s="1"/>
  <c r="K4207" i="3"/>
  <c r="K4347" i="3"/>
  <c r="K4145" i="3"/>
  <c r="K4148" i="3" s="1"/>
  <c r="K4149" i="3" s="1"/>
  <c r="K4401" i="3"/>
  <c r="K2602" i="3" l="1"/>
  <c r="K3753" i="3"/>
  <c r="K3756" i="3" s="1"/>
  <c r="K3757" i="3" s="1"/>
  <c r="K1023" i="3"/>
  <c r="K957" i="3"/>
  <c r="J1607" i="3"/>
  <c r="K1610" i="3" s="1"/>
  <c r="K920" i="3"/>
  <c r="K973" i="3"/>
  <c r="K1145" i="3"/>
  <c r="K944" i="3"/>
  <c r="K1390" i="3"/>
  <c r="K870" i="3"/>
  <c r="K3910" i="3"/>
  <c r="K1236" i="3"/>
  <c r="K1351" i="3"/>
  <c r="K893" i="3"/>
  <c r="K1146" i="3"/>
  <c r="K919" i="3"/>
  <c r="K930" i="3"/>
  <c r="K1153" i="3"/>
  <c r="K1399" i="3"/>
  <c r="K1443" i="3"/>
  <c r="K1446" i="3" s="1"/>
  <c r="K1447" i="3" s="1"/>
  <c r="K495" i="3"/>
  <c r="K1101" i="3"/>
  <c r="K906" i="3"/>
  <c r="K869" i="3"/>
  <c r="K918" i="3"/>
  <c r="K1183" i="3"/>
  <c r="K1213" i="3"/>
  <c r="K2262" i="3"/>
  <c r="K2265" i="3" s="1"/>
  <c r="K2266" i="3" s="1"/>
  <c r="K939" i="3"/>
  <c r="K1611" i="3"/>
  <c r="K1716" i="3"/>
  <c r="K1112" i="3"/>
  <c r="K1129" i="3"/>
  <c r="K1267" i="3"/>
  <c r="K881" i="3"/>
  <c r="K954" i="3"/>
  <c r="K1194" i="3"/>
  <c r="K1253" i="3"/>
  <c r="K1193" i="3"/>
  <c r="K1310" i="3"/>
  <c r="K941" i="3"/>
  <c r="K1230" i="3"/>
  <c r="K3998" i="3"/>
  <c r="K1196" i="3"/>
  <c r="K1151" i="3"/>
  <c r="K2434" i="3"/>
  <c r="K2437" i="3" s="1"/>
  <c r="K2438" i="3" s="1"/>
  <c r="K3847" i="3"/>
  <c r="K1184" i="3"/>
  <c r="K956" i="3"/>
  <c r="K1077" i="3"/>
  <c r="K1342" i="3"/>
  <c r="K1197" i="3"/>
  <c r="K2085" i="3"/>
  <c r="K596" i="3"/>
  <c r="K2097" i="3"/>
  <c r="K2134" i="3"/>
  <c r="K2209" i="3"/>
  <c r="K2690" i="3"/>
  <c r="K1901" i="3"/>
  <c r="K975" i="3"/>
  <c r="K1330" i="3"/>
  <c r="K1998" i="3"/>
  <c r="K1999" i="3" s="1"/>
  <c r="K1005" i="3"/>
  <c r="K1006" i="3" s="1"/>
  <c r="E576" i="3"/>
  <c r="K576" i="3" s="1"/>
  <c r="E2356" i="3"/>
  <c r="K2356" i="3" s="1"/>
  <c r="K2357" i="3" s="1"/>
  <c r="E2346" i="3"/>
  <c r="K2346" i="3" s="1"/>
  <c r="K2347" i="3" s="1"/>
  <c r="K2348" i="3" s="1"/>
  <c r="K2457" i="3"/>
  <c r="K2460" i="3" s="1"/>
  <c r="K2461" i="3" s="1"/>
  <c r="K971" i="3"/>
  <c r="K1024" i="3"/>
  <c r="K1254" i="3"/>
  <c r="K1100" i="3"/>
  <c r="E575" i="3"/>
  <c r="K575" i="3" s="1"/>
  <c r="K1227" i="3"/>
  <c r="K904" i="3"/>
  <c r="K1038" i="3"/>
  <c r="K4010" i="3"/>
  <c r="K1352" i="3"/>
  <c r="K993" i="3"/>
  <c r="K997" i="3" s="1"/>
  <c r="K998" i="3" s="1"/>
  <c r="K1313" i="3"/>
  <c r="K1079" i="3"/>
  <c r="K1070" i="3"/>
  <c r="K1347" i="3"/>
  <c r="K955" i="3"/>
  <c r="K1181" i="3"/>
  <c r="K921" i="3"/>
  <c r="K1207" i="3"/>
  <c r="K1160" i="3"/>
  <c r="K4840" i="3"/>
  <c r="K4843" i="3" s="1"/>
  <c r="K4844" i="3" s="1"/>
  <c r="K908" i="3"/>
  <c r="K4364" i="3"/>
  <c r="K4367" i="3" s="1"/>
  <c r="K1094" i="3"/>
  <c r="K1095" i="3" s="1"/>
  <c r="K967" i="3"/>
  <c r="K1056" i="3"/>
  <c r="K1127" i="3"/>
  <c r="K907" i="3"/>
  <c r="K1296" i="3"/>
  <c r="K3822" i="3"/>
  <c r="K3823" i="3" s="1"/>
  <c r="K3826" i="3" s="1"/>
  <c r="K3827" i="3" s="1"/>
  <c r="K1195" i="3"/>
  <c r="K1043" i="3"/>
  <c r="K1245" i="3"/>
  <c r="K894" i="3"/>
  <c r="K1041" i="3"/>
  <c r="K943" i="3"/>
  <c r="K1040" i="3"/>
  <c r="K1042" i="3"/>
  <c r="K1131" i="3"/>
  <c r="K1215" i="3"/>
  <c r="K1419" i="3"/>
  <c r="K1423" i="3" s="1"/>
  <c r="K1424" i="3" s="1"/>
  <c r="K1247" i="3"/>
  <c r="K1156" i="3"/>
  <c r="K988" i="3"/>
  <c r="K989" i="3" s="1"/>
  <c r="K1341" i="3"/>
  <c r="K896" i="3"/>
  <c r="K1281" i="3"/>
  <c r="K1217" i="3"/>
  <c r="K4210" i="3"/>
  <c r="K4213" i="3" s="1"/>
  <c r="K4214" i="3" s="1"/>
  <c r="K1071" i="3"/>
  <c r="K1312" i="3"/>
  <c r="K1198" i="3"/>
  <c r="K1057" i="3"/>
  <c r="K1102" i="3"/>
  <c r="K1209" i="3"/>
  <c r="K1308" i="3"/>
  <c r="K1318" i="3"/>
  <c r="K968" i="3"/>
  <c r="E577" i="3"/>
  <c r="K577" i="3" s="1"/>
  <c r="K1039" i="3"/>
  <c r="K1147" i="3"/>
  <c r="K974" i="3"/>
  <c r="K1106" i="3"/>
  <c r="K1218" i="3"/>
  <c r="K1256" i="3"/>
  <c r="K946" i="3"/>
  <c r="K1246" i="3"/>
  <c r="K1311" i="3"/>
  <c r="K1124" i="3"/>
  <c r="K1134" i="3"/>
  <c r="K1020" i="3"/>
  <c r="K1123" i="3"/>
  <c r="K1277" i="3"/>
  <c r="K1392" i="3"/>
  <c r="K1214" i="3"/>
  <c r="K1075" i="3"/>
  <c r="K958" i="3"/>
  <c r="K1221" i="3"/>
  <c r="K1362" i="3"/>
  <c r="K1365" i="3" s="1"/>
  <c r="K1366" i="3" s="1"/>
  <c r="K1298" i="3"/>
  <c r="K1158" i="3"/>
  <c r="K3774" i="3"/>
  <c r="K3773" i="3"/>
  <c r="K1229" i="3"/>
  <c r="K1105" i="3"/>
  <c r="K1076" i="3"/>
  <c r="K1252" i="3"/>
  <c r="K924" i="3"/>
  <c r="K925" i="3" s="1"/>
  <c r="K1393" i="3"/>
  <c r="K883" i="3"/>
  <c r="K886" i="3" s="1"/>
  <c r="K887" i="3" s="1"/>
  <c r="K1132" i="3"/>
  <c r="K1350" i="3"/>
  <c r="K1036" i="3"/>
  <c r="K1428" i="3"/>
  <c r="K1432" i="3" s="1"/>
  <c r="K1433" i="3" s="1"/>
  <c r="K1210" i="3"/>
  <c r="K1327" i="3"/>
  <c r="K976" i="3"/>
  <c r="K1208" i="3"/>
  <c r="K942" i="3"/>
  <c r="K1306" i="3"/>
  <c r="K1060" i="3"/>
  <c r="K969" i="3"/>
  <c r="K1268" i="3"/>
  <c r="K1326" i="3"/>
  <c r="K1278" i="3"/>
  <c r="K1109" i="3"/>
  <c r="K929" i="3"/>
  <c r="K1290" i="3"/>
  <c r="K1072" i="3"/>
  <c r="K1111" i="3"/>
  <c r="K1328" i="3"/>
  <c r="K4098" i="3"/>
  <c r="K4100" i="3" s="1"/>
  <c r="K4103" i="3" s="1"/>
  <c r="K4104" i="3" s="1"/>
  <c r="K1108" i="3"/>
  <c r="K1027" i="3"/>
  <c r="K1231" i="3"/>
  <c r="K972" i="3"/>
  <c r="K871" i="3"/>
  <c r="K1309" i="3"/>
  <c r="K1148" i="3"/>
  <c r="K1283" i="3"/>
  <c r="K1228" i="3"/>
  <c r="K1121" i="3"/>
  <c r="K1082" i="3"/>
  <c r="K1344" i="3"/>
  <c r="K1279" i="3"/>
  <c r="K1255" i="3"/>
  <c r="K1284" i="3"/>
  <c r="K1155" i="3"/>
  <c r="K945" i="3"/>
  <c r="K1128" i="3"/>
  <c r="K1332" i="3"/>
  <c r="K1331" i="3"/>
  <c r="K1080" i="3"/>
  <c r="K1025" i="3"/>
  <c r="K1104" i="3"/>
  <c r="K1045" i="3"/>
  <c r="K1054" i="3"/>
  <c r="K1297" i="3"/>
  <c r="K875" i="3" l="1"/>
  <c r="K876" i="3" s="1"/>
  <c r="K877" i="3" s="1"/>
  <c r="K912" i="3"/>
  <c r="K913" i="3" s="1"/>
  <c r="K1187" i="3"/>
  <c r="K1188" i="3" s="1"/>
  <c r="K1270" i="3"/>
  <c r="K1271" i="3" s="1"/>
  <c r="K933" i="3"/>
  <c r="K934" i="3" s="1"/>
  <c r="K961" i="3"/>
  <c r="K962" i="3" s="1"/>
  <c r="K899" i="3"/>
  <c r="K900" i="3" s="1"/>
  <c r="K1201" i="3"/>
  <c r="K1202" i="3" s="1"/>
  <c r="K578" i="3"/>
  <c r="K579" i="3" s="1"/>
  <c r="K1291" i="3"/>
  <c r="K1292" i="3" s="1"/>
  <c r="K1300" i="3"/>
  <c r="K1301" i="3" s="1"/>
  <c r="K1163" i="3"/>
  <c r="K1164" i="3" s="1"/>
  <c r="K1165" i="3" s="1"/>
  <c r="K1239" i="3"/>
  <c r="K1240" i="3" s="1"/>
  <c r="K949" i="3"/>
  <c r="K950" i="3" s="1"/>
  <c r="K1357" i="3"/>
  <c r="K1358" i="3" s="1"/>
  <c r="K1139" i="3"/>
  <c r="K1140" i="3" s="1"/>
  <c r="K1063" i="3"/>
  <c r="K1064" i="3" s="1"/>
  <c r="K1319" i="3"/>
  <c r="K1320" i="3" s="1"/>
  <c r="K1115" i="3"/>
  <c r="K1116" i="3" s="1"/>
  <c r="K1261" i="3"/>
  <c r="K1262" i="3" s="1"/>
  <c r="K1222" i="3"/>
  <c r="K1223" i="3" s="1"/>
  <c r="K980" i="3"/>
  <c r="K981" i="3" s="1"/>
  <c r="K1335" i="3"/>
  <c r="K1336" i="3" s="1"/>
  <c r="K1048" i="3"/>
  <c r="K1049" i="3" s="1"/>
  <c r="K1030" i="3"/>
  <c r="K1031" i="3" s="1"/>
  <c r="K1086" i="3"/>
  <c r="K1087" i="3" s="1"/>
  <c r="K1402" i="3"/>
  <c r="K1403" i="3" s="1"/>
  <c r="K1404"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Gary Calese</author>
  </authors>
  <commentList>
    <comment ref="G2" authorId="0" shapeId="0" xr:uid="{B4BB74E4-B435-4F24-944E-471699F22524}">
      <text>
        <r>
          <rPr>
            <b/>
            <sz val="9"/>
            <color indexed="81"/>
            <rFont val="Tahoma"/>
            <family val="2"/>
          </rPr>
          <t>In accordance with FAR 28.102, all government construction projects over $150,000 are subject
to the Miller Act which requires performance and payment bonds.</t>
        </r>
      </text>
    </comment>
    <comment ref="P3" authorId="0" shapeId="0" xr:uid="{9AD1FC17-2668-43F3-B224-3635A007F678}">
      <text>
        <r>
          <rPr>
            <b/>
            <sz val="9"/>
            <color indexed="81"/>
            <rFont val="Tahoma"/>
            <family val="2"/>
          </rPr>
          <t>Generally effects MILCON (&gt;$750k) projects)</t>
        </r>
      </text>
    </comment>
  </commentList>
</comments>
</file>

<file path=xl/sharedStrings.xml><?xml version="1.0" encoding="utf-8"?>
<sst xmlns="http://schemas.openxmlformats.org/spreadsheetml/2006/main" count="17559" uniqueCount="3411">
  <si>
    <t>FAC</t>
  </si>
  <si>
    <t>FAC Title</t>
  </si>
  <si>
    <t>UM</t>
  </si>
  <si>
    <t>SY</t>
  </si>
  <si>
    <t>N/A</t>
  </si>
  <si>
    <t>OL</t>
  </si>
  <si>
    <t>GA</t>
  </si>
  <si>
    <t>LF</t>
  </si>
  <si>
    <t>GM</t>
  </si>
  <si>
    <t>SF</t>
  </si>
  <si>
    <t>COMMUNICATIONS FACILITY</t>
  </si>
  <si>
    <t>EA</t>
  </si>
  <si>
    <t>AIRCRAFT NAVIGATION FACILITY</t>
  </si>
  <si>
    <t>COMMUNICATION LINES</t>
  </si>
  <si>
    <t>MI</t>
  </si>
  <si>
    <t>AIRFIELD LIGHTING</t>
  </si>
  <si>
    <t>SHIP NAVIGATION FACILITY</t>
  </si>
  <si>
    <t>HELIUM STORAGE FACILITY</t>
  </si>
  <si>
    <t>SHIP OPERATIONS BUILDING</t>
  </si>
  <si>
    <t>PHOTO/TV PRODUCTION BUILDING</t>
  </si>
  <si>
    <t>OPERATIONS SUPPORT LAB</t>
  </si>
  <si>
    <t>OPERATIONS SUPPLY BUILDING</t>
  </si>
  <si>
    <t>SECURITY FORCE BUILDING</t>
  </si>
  <si>
    <t>NUCLEAR WEAPONS SUPPORT FACILITY</t>
  </si>
  <si>
    <t>EXPLOSIVES RAILWAY HOLDING YARD</t>
  </si>
  <si>
    <t>REVETMENT</t>
  </si>
  <si>
    <t>FY09 Study for CNIC</t>
  </si>
  <si>
    <t>PIER/WHARF ACCESS TRESTLE</t>
  </si>
  <si>
    <t>SHORE EROSION PREVENTION FACILITY</t>
  </si>
  <si>
    <t>SMALL CRAFT BERTHING</t>
  </si>
  <si>
    <t>FB</t>
  </si>
  <si>
    <t>SMALL CRAFT BUILDING</t>
  </si>
  <si>
    <t>MISCELLANEOUS WATERFRONT FACILITY</t>
  </si>
  <si>
    <t>HARBOR MARINE IMPROVEMENTS</t>
  </si>
  <si>
    <t>TRAINING POOL AND TANK</t>
  </si>
  <si>
    <t>AC</t>
  </si>
  <si>
    <t>PARADE AND DRILL FIELD</t>
  </si>
  <si>
    <t>GENERAL PURPOSE SMALL ARMS RANGE</t>
  </si>
  <si>
    <t>FP</t>
  </si>
  <si>
    <t>ZERO RANGE</t>
  </si>
  <si>
    <t>FIELD FIRE RANGE</t>
  </si>
  <si>
    <t>RECORD FIRE RANGE</t>
  </si>
  <si>
    <t>NIGHT FIRE RANGE</t>
  </si>
  <si>
    <t>KNOWN DISTANCE RANGE</t>
  </si>
  <si>
    <t>SNIPER RANGE</t>
  </si>
  <si>
    <t>PISTOL RANGE</t>
  </si>
  <si>
    <t>MACHINEGUN RANGE</t>
  </si>
  <si>
    <t>GENERAL PURPOSE DIRECT FIRE RANGE</t>
  </si>
  <si>
    <t>GRENADE LAUNCHER RANGE</t>
  </si>
  <si>
    <t>GRENADE MACHINEGUN RANGE</t>
  </si>
  <si>
    <t>LN</t>
  </si>
  <si>
    <t>LIGHT ANTIARMOR WEAPON RANGE</t>
  </si>
  <si>
    <t>HEAVY ANTIARMOR WEAPON RANGE</t>
  </si>
  <si>
    <t>ARTILLERY DIRECT FIRE RANGE</t>
  </si>
  <si>
    <t>TANK STATIONARY GUNNERY RANGE</t>
  </si>
  <si>
    <t>INDIRECT FIRE RANGE</t>
  </si>
  <si>
    <t>SCALED INDIRECT FIRE RANGE</t>
  </si>
  <si>
    <t>SCALED GUNNERY RANGE</t>
  </si>
  <si>
    <t>ARMOR VEHICLE CREW TRAINING RANGE</t>
  </si>
  <si>
    <t>ARMOR VEHICLE UNIT TRAINING RANGE</t>
  </si>
  <si>
    <t>FIRE AND MOVEMENT RANGE</t>
  </si>
  <si>
    <t>SQUAD DEFENSE RANGE</t>
  </si>
  <si>
    <t>INFANTRY BATTLE COURSE</t>
  </si>
  <si>
    <t>URBAN COMBAT TRAINING RANGE</t>
  </si>
  <si>
    <t>CONVOY LIVE FIRE RANGE</t>
  </si>
  <si>
    <t>LIVE HAND GRENADE RANGE</t>
  </si>
  <si>
    <t>ENGINEER QUALIFICATION RANGE</t>
  </si>
  <si>
    <t>LIGHT DEMOLITION AND FLAME TRAINING RANGE</t>
  </si>
  <si>
    <t>MISCELLANEOUS TRAINING FACILITY</t>
  </si>
  <si>
    <t>AIRCRAFT WEAPONS CALIBRATION RANGE</t>
  </si>
  <si>
    <t>ATTACK HELICOPTER WEAPONS RANGE</t>
  </si>
  <si>
    <t>AIRCRAFT WEAPONS RANGE</t>
  </si>
  <si>
    <t>AIR DEFENSE RANGE</t>
  </si>
  <si>
    <t>FIRE AND RESCUE TRAINING FACILITY</t>
  </si>
  <si>
    <t>URBAN COMBAT TRAINING AREA, NON-FIRE</t>
  </si>
  <si>
    <t>HAND GRENADE RANGE, NON-FIRING</t>
  </si>
  <si>
    <t>INFILTRATION COURSE, LIVE FIRE</t>
  </si>
  <si>
    <t>CONFIDENCE/OBSTACLE COURSE</t>
  </si>
  <si>
    <t>AIRCRAFT MAINTENANCE SHOP</t>
  </si>
  <si>
    <t>MISSILE MAINTENANCE/ASSEMBLY BUILDING</t>
  </si>
  <si>
    <t>MISSILE/LAUNCHER MAINTENANCE SUPPORT FACILITY</t>
  </si>
  <si>
    <t>MISSILE TEST TOWER</t>
  </si>
  <si>
    <t>MISSILE MAINTENANCE/ASSEMBLY BUILDING, DEPOT</t>
  </si>
  <si>
    <t>FY11 Study for CNIC</t>
  </si>
  <si>
    <t>MARINE MAINTENANCE SUPPORT FACILITY</t>
  </si>
  <si>
    <t>WEAPON MAINTENANCE SHOP, DEPOT</t>
  </si>
  <si>
    <t>WEAPON MAINTENANCE FACILITY, DEPOT</t>
  </si>
  <si>
    <t>AMMUNITION MAINTENANCE SHOP</t>
  </si>
  <si>
    <t>AMMUNITION MAINTENANCE SHOP, DEPOT</t>
  </si>
  <si>
    <t>AMMUNITION MAINTENANCE FACILITY, DEPOT</t>
  </si>
  <si>
    <t>ELECTRONIC AND COMMUNICATION MAINTENANCE FACILITY</t>
  </si>
  <si>
    <t>FACILITY ENGINEER MAINTENANCE SHOP</t>
  </si>
  <si>
    <t>FACILITY ENGINEER MAINTENANCE FACILITY</t>
  </si>
  <si>
    <t>AIRCRAFT PRODUCTION PLANT</t>
  </si>
  <si>
    <t>MISSILE PRODUCTION PLANT</t>
  </si>
  <si>
    <t>SHIP PRODUCTION PLANT</t>
  </si>
  <si>
    <t>TANK/AUTOMOTIVE PRODUCTION PLANT</t>
  </si>
  <si>
    <t>TANK/AUTOMOTIVE PRODUCTION FACILITY</t>
  </si>
  <si>
    <t>WEAPON PRODUCTION PLANT</t>
  </si>
  <si>
    <t>WEAPON PRODUCTION FACILITY</t>
  </si>
  <si>
    <t>AMMUNITION PRODUCTION PLANT</t>
  </si>
  <si>
    <t>AMMUNITION PRODUCTION FACILITY</t>
  </si>
  <si>
    <t>ELECTRONIC AND COMMUNICATION PRODUCTION PLANT</t>
  </si>
  <si>
    <t>MISCELLANEOUS SUPPORT PRODUCTION PLANT</t>
  </si>
  <si>
    <t>CONSTRUCTION MATERIAL PRODUCTION PLANT</t>
  </si>
  <si>
    <t>RDT&amp;E LABORATORY</t>
  </si>
  <si>
    <t>MEDICAL RESEARCH LABORATORY</t>
  </si>
  <si>
    <t>BIOSAFETY LEVEL 3 LABORATORY</t>
  </si>
  <si>
    <t>BIOSAFETY LEVEL 4 LABORATORY</t>
  </si>
  <si>
    <t>SHIP AND MARINE RDT&amp;E FACILITY</t>
  </si>
  <si>
    <t>TANK AND AUTOMOTIVE RDT&amp;E FACILITY</t>
  </si>
  <si>
    <t>WEAPONS RDT&amp;E FACILITY</t>
  </si>
  <si>
    <t>AMMUNITION, EXPLOSIVE, AND TOXIC RDT&amp;E FACILITY</t>
  </si>
  <si>
    <t>ELECTRONIC AND COMMUNICATION RDT&amp;E FACILITY</t>
  </si>
  <si>
    <t>PROPULSION RDT&amp;E FACILITY</t>
  </si>
  <si>
    <t>MISCELLANEOUS ITEM AND EQUIPMENT RDT&amp;E FACILITY</t>
  </si>
  <si>
    <t>UNDERWATER EQUIPMENT RDT&amp;E FACILITY</t>
  </si>
  <si>
    <t>BL</t>
  </si>
  <si>
    <t>SMALL BULK STORAGE</t>
  </si>
  <si>
    <t>INTERCONTINENTAL BALLISTIC MISSILE STORAGE FACILITY</t>
  </si>
  <si>
    <t>LIQUID PROPELLANT STORAGE, AMMUNITION RELATED</t>
  </si>
  <si>
    <t>OPEN AMMUNITION STORAGE</t>
  </si>
  <si>
    <t>COLD STORAGE, DEPOT</t>
  </si>
  <si>
    <t>COLD STORAGE, INSTALLATION</t>
  </si>
  <si>
    <t>CONTROLLED HUMIDITY STORAGE, DEPOT</t>
  </si>
  <si>
    <t>CONTROLLED HUMIDITY STORAGE, INSTALLATION</t>
  </si>
  <si>
    <t>VEHICLE STORAGE, COVERED</t>
  </si>
  <si>
    <t>STORAGE SILO, LOOSE MATERIAL</t>
  </si>
  <si>
    <t>STORAGE AND CUSTOMER SERVICE</t>
  </si>
  <si>
    <t>OPEN STORAGE, DEPOT</t>
  </si>
  <si>
    <t>OPEN STORAGE, INSTALLATION</t>
  </si>
  <si>
    <t>varies</t>
  </si>
  <si>
    <t>MEDICAL LABORATORY</t>
  </si>
  <si>
    <t>MORGUE</t>
  </si>
  <si>
    <t>VETERINARY FACILITY</t>
  </si>
  <si>
    <t>MEDICAL WAREHOUSE</t>
  </si>
  <si>
    <t>AMBULANCE SHELTER</t>
  </si>
  <si>
    <t>PRINTING AND REPRODUCTION PLANT</t>
  </si>
  <si>
    <t>ADMINISTRATIVE STRUCTURE, OTHER THAN BUILDINGS</t>
  </si>
  <si>
    <t>FAMILY HOUSING TRAILER</t>
  </si>
  <si>
    <t>FAMILY HOUSING TRAILER SITE</t>
  </si>
  <si>
    <t>FAMILY HOUSING GARAGE</t>
  </si>
  <si>
    <t>FAMILY HOUSING STORAGE FACILITY</t>
  </si>
  <si>
    <t>MISCELLANEOUS FAMILY HOUSING SUPPORT FACILITY</t>
  </si>
  <si>
    <t>TRAILER COURT SUPPORT FACILITY</t>
  </si>
  <si>
    <t>FAMILY HOUSING CARPORT</t>
  </si>
  <si>
    <t>UNACCOMPANIED HOUSING FOR WOUNDED WARRIORS</t>
  </si>
  <si>
    <t>MISCELLANEOUS UPH SUPPORT BUILDING</t>
  </si>
  <si>
    <t>UNACCOMPANIED PERSONNEL HOUSING GARAGE</t>
  </si>
  <si>
    <t>DINING SUPPORT FACILITY</t>
  </si>
  <si>
    <t>LATRINE/SHOWER FACILITY</t>
  </si>
  <si>
    <t>MISCELLANEOUS UPH SUPPORT FACILITY</t>
  </si>
  <si>
    <t>OFFICER UPH, TRANSIENT</t>
  </si>
  <si>
    <t>SERVICE ACADEMY UNACCOMPANIED PERSONNEL HOUSING</t>
  </si>
  <si>
    <t>EMERGENCY UNACCOMPANIED PERSONNEL HOUSING</t>
  </si>
  <si>
    <t>PRISON/CONFINEMENT FACILITY</t>
  </si>
  <si>
    <t>POLICE STATION</t>
  </si>
  <si>
    <t>DRUG AND ALCOHOL ABUSE CENTER</t>
  </si>
  <si>
    <t>BREAD/PASTRY KITCHEN</t>
  </si>
  <si>
    <t>ICE/DAIRY PRODUCTS PLANT</t>
  </si>
  <si>
    <t>GREENHOUSE</t>
  </si>
  <si>
    <t>EXCHANGE EATING FACILITY</t>
  </si>
  <si>
    <t>OPEN MESS AND CLUB FACILITY</t>
  </si>
  <si>
    <t>THRIFT SHOP</t>
  </si>
  <si>
    <t>BUS STATION</t>
  </si>
  <si>
    <t>LAUNDRY/DRY CLEANING FACILITY</t>
  </si>
  <si>
    <t>POSTAL FACILITY</t>
  </si>
  <si>
    <t>EXCHANGE AUTOMOBILE FACILITY</t>
  </si>
  <si>
    <t>EXCHANGE SALES FACILITY</t>
  </si>
  <si>
    <t>BANK AND CREDIT UNION</t>
  </si>
  <si>
    <t>CAR WASH FACILITY</t>
  </si>
  <si>
    <t>COMMISSARY</t>
  </si>
  <si>
    <t>EDUCATION CENTER</t>
  </si>
  <si>
    <t>SCHOOL PLAYGROUNDS</t>
  </si>
  <si>
    <t>RELIGIOUS EDUCATION FACILITY</t>
  </si>
  <si>
    <t>FAMILY SERVICE CENTER</t>
  </si>
  <si>
    <t>FORESTRY GUARD STATION</t>
  </si>
  <si>
    <t>LOCKER ROOM</t>
  </si>
  <si>
    <t>PUBLIC RESTROOM/SHOWER</t>
  </si>
  <si>
    <t>CEREMONIAL HALL</t>
  </si>
  <si>
    <t>EXCHANGE SUPPORT FACILITY</t>
  </si>
  <si>
    <t>HOBBY AND CRAFT CENTER</t>
  </si>
  <si>
    <t>AUTOMOBILE CRAFT CENTER</t>
  </si>
  <si>
    <t>GOLF CLUB HOUSE AND SALES</t>
  </si>
  <si>
    <t>CLUB AND ORGANIZATION BUILDING</t>
  </si>
  <si>
    <t>BOWLING CENTER</t>
  </si>
  <si>
    <t>LIBRARY, GENERAL USE</t>
  </si>
  <si>
    <t>RECREATION CENTER</t>
  </si>
  <si>
    <t>INDOOR SKATING RINK</t>
  </si>
  <si>
    <t>INDOOR SWIMMING POOL</t>
  </si>
  <si>
    <t>AUDITORIUM AND THEATER FACILITY</t>
  </si>
  <si>
    <t>RECREATIONAL LODGING</t>
  </si>
  <si>
    <t>TRANSIENT AND RECREATIONAL LODGING SUPPORT FACILITY</t>
  </si>
  <si>
    <t>STABLE</t>
  </si>
  <si>
    <t>BOATHOUSE</t>
  </si>
  <si>
    <t>RETAIL KENNEL</t>
  </si>
  <si>
    <t>OUTDOOR SWIMMING POOL</t>
  </si>
  <si>
    <t>GOLF COURSE</t>
  </si>
  <si>
    <t>GOLF DRIVING RANGE</t>
  </si>
  <si>
    <t>GOLF PITCH AND PUTT COURSE</t>
  </si>
  <si>
    <t>OUTDOOR RECREATION AREA</t>
  </si>
  <si>
    <t>RECREATIONAL PIER</t>
  </si>
  <si>
    <t>MARINA</t>
  </si>
  <si>
    <t>OUTDOOR PLAYING COURT</t>
  </si>
  <si>
    <t>RUNNING TRACK</t>
  </si>
  <si>
    <t>STADIUM</t>
  </si>
  <si>
    <t>PAVILION</t>
  </si>
  <si>
    <t>OUTDOOR THEATER</t>
  </si>
  <si>
    <t>RECREATIONAL CAMP AND TRAILER PARK</t>
  </si>
  <si>
    <t>MISCELLANEOUS OUTDOOR RECREATION FACILITY</t>
  </si>
  <si>
    <t>MUSEUM</t>
  </si>
  <si>
    <t>COLUMBARIUM</t>
  </si>
  <si>
    <t>CF</t>
  </si>
  <si>
    <t>WHS Milcon Project Cost</t>
  </si>
  <si>
    <t>ELECTRICAL POWER SOURCE</t>
  </si>
  <si>
    <t>KW</t>
  </si>
  <si>
    <t>ELECTRICAL POWER SOURCE HYDROELECTRIC</t>
  </si>
  <si>
    <t>MW</t>
  </si>
  <si>
    <t>ELECTRICAL POWER SOURCE, WIND GENERATED</t>
  </si>
  <si>
    <t>ELECTRICAL POWER SOURCE, PHOTOVOLTAIC</t>
  </si>
  <si>
    <t>EXTERIOR LIGHTING, POLE</t>
  </si>
  <si>
    <t>KV</t>
  </si>
  <si>
    <t>HEAT SOURCE</t>
  </si>
  <si>
    <t>BH</t>
  </si>
  <si>
    <t>HEAT GAS PRODUCTION PLANT</t>
  </si>
  <si>
    <t>HEAT GAS STORAGE</t>
  </si>
  <si>
    <t>HEAT GAS DISTRIBUTION LINE</t>
  </si>
  <si>
    <t>REFRIGERATION AND AIR CONDITIONING SOURCE</t>
  </si>
  <si>
    <t>TR</t>
  </si>
  <si>
    <t>CHILLED WATER AND REFRIGERANT DISTRIBUTION LINE</t>
  </si>
  <si>
    <t>SEWAGE TREATMENT</t>
  </si>
  <si>
    <t>KG</t>
  </si>
  <si>
    <t>INDUSTRIAL WASTE TREATMENT</t>
  </si>
  <si>
    <t>WATER SEPARATION FACILITY</t>
  </si>
  <si>
    <t>SEPTIC TANK AND DRAIN FIELD</t>
  </si>
  <si>
    <t>SEPTIC LAGOON AND SETTLEMENT PONDS</t>
  </si>
  <si>
    <t>SEWER AND INDUSTRIAL WASTE LINE</t>
  </si>
  <si>
    <t>REFUSE COLLECTION AND RECYCLING FACILITY</t>
  </si>
  <si>
    <t>INCINERATOR</t>
  </si>
  <si>
    <t>TH</t>
  </si>
  <si>
    <t>SANITARY LANDFILL</t>
  </si>
  <si>
    <t>FY14 Navy Military Construction Program</t>
  </si>
  <si>
    <t>HAZARDOUS WASTE LANDFILL</t>
  </si>
  <si>
    <t>WATER TREATMENT FACILITY</t>
  </si>
  <si>
    <t>WATER STORAGE, POTABLE</t>
  </si>
  <si>
    <t>WATER WELL, POTABLE</t>
  </si>
  <si>
    <t>DESALINIZATION PLANT</t>
  </si>
  <si>
    <t>WATER DISTRIBUTION LINE, POTABLE</t>
  </si>
  <si>
    <t>WATER DISTRIBUTION LINE, FIRE PROTECTION</t>
  </si>
  <si>
    <t>MG</t>
  </si>
  <si>
    <t>WATER SOURCE, NON-POTABLE</t>
  </si>
  <si>
    <t>WATER STORAGE, NON-POTABLE</t>
  </si>
  <si>
    <t>ROAD, SURFACED</t>
  </si>
  <si>
    <t>VEHICLE BRIDGE</t>
  </si>
  <si>
    <t>VEHICULAR TUNNEL</t>
  </si>
  <si>
    <t>VEHICLE PARKING, SURFACED</t>
  </si>
  <si>
    <t>VEHICLE PARKING AND STAGING AREA, UNSURFACED</t>
  </si>
  <si>
    <t>VEHICLE STAGING AREA, SURFACED</t>
  </si>
  <si>
    <t>SIDEWALK AND WALKWAY</t>
  </si>
  <si>
    <t>PEDESTRIAN BRIDGE</t>
  </si>
  <si>
    <t>MISCELLANEOUS PAVED AREA</t>
  </si>
  <si>
    <t>TRAFFIC CONTROL SIGNALS</t>
  </si>
  <si>
    <t>RAILROAD TRACK</t>
  </si>
  <si>
    <t>RAILROAD BRIDGE</t>
  </si>
  <si>
    <t>MISCELLANEOUS RAILROAD FACILITY</t>
  </si>
  <si>
    <t>STORM DRAINAGE</t>
  </si>
  <si>
    <t>RETAINING STRUCTURE</t>
  </si>
  <si>
    <t>LEVEES AND DIKES FOR GROUNDS DRAINAGE</t>
  </si>
  <si>
    <t>BOUNDARY FENCE AND WALL</t>
  </si>
  <si>
    <t>SECURITY FENCE</t>
  </si>
  <si>
    <t>NAVIGATION REVETMENTS</t>
  </si>
  <si>
    <t>UTILITY BUILDING</t>
  </si>
  <si>
    <t>INSTALLATION GAS PRODUCTION PLANT</t>
  </si>
  <si>
    <t>INSTALLATION GAS STORAGE</t>
  </si>
  <si>
    <t>VEHICLE SCALES</t>
  </si>
  <si>
    <t>MISCELLANEOUS PUMP STATION</t>
  </si>
  <si>
    <t>HAZARDOUS WASTE STORAGE OR DISPOSAL FACILITY</t>
  </si>
  <si>
    <t>UTILITY VAULTS</t>
  </si>
  <si>
    <t>LOADING PLATFORM/RAMP</t>
  </si>
  <si>
    <t>INSTALLATION GAS DISTRIBUTION LINE</t>
  </si>
  <si>
    <t>UTILITY TUNNEL</t>
  </si>
  <si>
    <t>MISCELLANEOUS STORAGE TANK AND BASIN</t>
  </si>
  <si>
    <t>WATER LAUNCH RAMP</t>
  </si>
  <si>
    <t xml:space="preserve">FY18 Replacement Unit Cost Supporting Documentation  </t>
  </si>
  <si>
    <t>Notes:  Replacement Unit Costs (RUC) are not size adjusted.  If available, reference size from source pricing guide is republished for end-user calculation.</t>
  </si>
  <si>
    <t xml:space="preserve">              RUCs are calculated or adjusted to 1 October 2017.</t>
  </si>
  <si>
    <t xml:space="preserve">              RUCs inflation is calculated using UFC 3-701-01, Table 4-2, 23 May 2018.</t>
  </si>
  <si>
    <t xml:space="preserve">              No calculations are shown for "Set-to" FACs, such as FAC 1115, or for RUCs that were simply inflated, such as FAC 1221. </t>
  </si>
  <si>
    <t xml:space="preserve">FAC </t>
  </si>
  <si>
    <t>Fixed-Wing Runway, Surfaced (Heavy)</t>
  </si>
  <si>
    <t>Design Size</t>
  </si>
  <si>
    <t xml:space="preserve">UM = </t>
  </si>
  <si>
    <t>Source</t>
  </si>
  <si>
    <t xml:space="preserve">PACES 1.3;
UFC 3-260-02, 30 June 2001 </t>
  </si>
  <si>
    <t>Assembly</t>
  </si>
  <si>
    <t>Description</t>
  </si>
  <si>
    <t>Quantity</t>
  </si>
  <si>
    <t>Material</t>
  </si>
  <si>
    <t>Labor</t>
  </si>
  <si>
    <t>Equipment</t>
  </si>
  <si>
    <t>Bare</t>
  </si>
  <si>
    <t>Total with O&amp;P</t>
  </si>
  <si>
    <t>G1030050510</t>
  </si>
  <si>
    <t>Dry Roll Gravel, Steel Roller</t>
  </si>
  <si>
    <t>$0.00</t>
  </si>
  <si>
    <t>G2010010101</t>
  </si>
  <si>
    <t>Cement Stabilized Base</t>
  </si>
  <si>
    <t>CY</t>
  </si>
  <si>
    <t>G2010010102</t>
  </si>
  <si>
    <t>Gravel, Delivered &amp; Dumped</t>
  </si>
  <si>
    <t>G2010030310</t>
  </si>
  <si>
    <t>Prime Coat</t>
  </si>
  <si>
    <t>G2060010102</t>
  </si>
  <si>
    <t>Jointed Concrete, Place &amp; Finish, 13" - 27"</t>
  </si>
  <si>
    <t>G2060020501</t>
  </si>
  <si>
    <t>Plastic Grooving (Transverse)</t>
  </si>
  <si>
    <t>G2060020801</t>
  </si>
  <si>
    <t>Field Mix Concrete</t>
  </si>
  <si>
    <t>G2060020803</t>
  </si>
  <si>
    <t>Haul Concrete To Paver</t>
  </si>
  <si>
    <t>G2060030701</t>
  </si>
  <si>
    <t>Construction Joint, 10"</t>
  </si>
  <si>
    <t>G2060030702</t>
  </si>
  <si>
    <t>Contraction Joint, 10"</t>
  </si>
  <si>
    <t>G2060030703</t>
  </si>
  <si>
    <t>Expansion Joint, 10"</t>
  </si>
  <si>
    <t>G2060052740</t>
  </si>
  <si>
    <t>Reflective White Paint</t>
  </si>
  <si>
    <t>G2060052741</t>
  </si>
  <si>
    <t>Reflective Yellow Paint</t>
  </si>
  <si>
    <t>G2060052742</t>
  </si>
  <si>
    <t>Non-Reflective Yellow Paint</t>
  </si>
  <si>
    <t>G2060052743</t>
  </si>
  <si>
    <t>Non-Reflective Black Paint</t>
  </si>
  <si>
    <t>Heavy Total</t>
  </si>
  <si>
    <t>Total</t>
  </si>
  <si>
    <t xml:space="preserve">Heavy RUC </t>
  </si>
  <si>
    <t>Fixed-Wing Runway, Surfaced (Medium)</t>
  </si>
  <si>
    <t>G2060010101</t>
  </si>
  <si>
    <t>Jointed Concrete, Place &amp; Finish, 4" - 12"</t>
  </si>
  <si>
    <t>Medium Total</t>
  </si>
  <si>
    <t>Medium RUC</t>
  </si>
  <si>
    <t>Fixed-Wing Runway, Surfaced (Light)</t>
  </si>
  <si>
    <t xml:space="preserve">PACES 1.3;
UFC 3-260-02, June 2001 </t>
  </si>
  <si>
    <t>Light Total</t>
  </si>
  <si>
    <r>
      <t xml:space="preserve">2017 RPAD inventory segregated into airfield type according to UFC 3-260-02.  Final RUC is a weighted average of Light, Medium, and Heavy runways based on inventory.
</t>
    </r>
    <r>
      <rPr>
        <u/>
        <sz val="11"/>
        <rFont val="Calibri"/>
        <family val="2"/>
        <scheme val="minor"/>
      </rPr>
      <t>PACES Input Parameters</t>
    </r>
    <r>
      <rPr>
        <sz val="11"/>
        <rFont val="Calibri"/>
        <family val="2"/>
        <scheme val="minor"/>
      </rPr>
      <t xml:space="preserve">:
   Area Cost Factor (ACF) = 1.00
   Midpoint of Construction: 1 October 2017
   SIOH =  0 %
   Contingency = 0 %
   Planning and Design = 0 %
</t>
    </r>
  </si>
  <si>
    <t>Light RUC</t>
  </si>
  <si>
    <t>2017 RPAD % of Inventory</t>
  </si>
  <si>
    <t>Light</t>
  </si>
  <si>
    <t>Medium</t>
  </si>
  <si>
    <t>Heavy</t>
  </si>
  <si>
    <t>Heavy RUC</t>
  </si>
  <si>
    <t>Weighted RUC</t>
  </si>
  <si>
    <t>Rotary-Wing Landing Area, Surfaced (Concrete)</t>
  </si>
  <si>
    <t>RPAD Average Size</t>
  </si>
  <si>
    <t>Construction Joint, 254.00mm (10")</t>
  </si>
  <si>
    <t>Expansion Joint, 254.00mm (10")</t>
  </si>
  <si>
    <t>Total Concrete</t>
  </si>
  <si>
    <t>RUC</t>
  </si>
  <si>
    <t>Rotary-Wing Landing Area, Surfaced (Asphalt)</t>
  </si>
  <si>
    <t>G2010030312</t>
  </si>
  <si>
    <t>Asphalt Wearing Course, 1 Pass (Line Item Including 5% Waste)</t>
  </si>
  <si>
    <t>TON</t>
  </si>
  <si>
    <t xml:space="preserve">Total Asphalt </t>
  </si>
  <si>
    <t>2016 RPAD inventory segregated by construction material.  Final RUC is a weighted average based on inventory.
PACES Input Parameters:
Area Cost Factor (ACF) = 1.00
Midpoint of Construction: 1 October 2017
SIOH =  0 %
Contingency = 0 %
Planning and Design = 0 %</t>
  </si>
  <si>
    <t>Asphalt RUC</t>
  </si>
  <si>
    <t>2017 RPAD % of Inventory          (1,360 assets: 235 concrete/126 asphalt)</t>
  </si>
  <si>
    <t>Concrete</t>
  </si>
  <si>
    <t>Concrete RUC</t>
  </si>
  <si>
    <t>Asphalt</t>
  </si>
  <si>
    <t>Runway Overrun Area, Surfaced</t>
  </si>
  <si>
    <t>Asphalt Wearing Course,1 Pass (Line Item Including 5% Waste)</t>
  </si>
  <si>
    <t>Jointed Concrete, Place &amp; Finish, 101.60mm - 304.80mm (4" - 12")</t>
  </si>
  <si>
    <r>
      <t xml:space="preserve">PACES Input Parameters:
Area Cost Factor (ACF) = 1.00
Midpoint of Construction: 1 October 2017
SIOH =  0 </t>
    </r>
    <r>
      <rPr>
        <sz val="11"/>
        <color theme="0"/>
        <rFont val="Calibri"/>
        <family val="2"/>
        <scheme val="minor"/>
      </rPr>
      <t>%</t>
    </r>
    <r>
      <rPr>
        <sz val="11"/>
        <rFont val="Calibri"/>
        <family val="2"/>
        <scheme val="minor"/>
      </rPr>
      <t xml:space="preserve">
Contingency = 0 %
Planning and Design = 0 %</t>
    </r>
  </si>
  <si>
    <t>Runway, Unsurfaced</t>
  </si>
  <si>
    <t>RPAD     Average Size</t>
  </si>
  <si>
    <t>G1030010103</t>
  </si>
  <si>
    <t>Rough Grading, 0.0014 T (14G), 1 Pass</t>
  </si>
  <si>
    <t>G1030010108</t>
  </si>
  <si>
    <t>Fine Grading, 0.013 T (130G), 2 Passes</t>
  </si>
  <si>
    <t>G1030020203</t>
  </si>
  <si>
    <t>Runway Soil Excavation, W/Scraper, Load &amp; Haul Spoil</t>
  </si>
  <si>
    <t>G1030050501</t>
  </si>
  <si>
    <t>Compact Subgrade, 2 Lifts</t>
  </si>
  <si>
    <t>PACES Input Parameters:
Area Cost Factor (ACF) = 1.00
Midpoint of Construction: 1 October 2017
SIOH =  0 %
Contingency = 0 %
Planning and Design = 0 %</t>
  </si>
  <si>
    <t>Taxiway, Surfaced</t>
  </si>
  <si>
    <t>Taxiway is combination of asphalt and concrete.  Size designed by PACES.
Taxiway PACES Input Parameters:
Area Cost Factor (ACF) = 1.00
Midpoint of Construction: 1 October 2017
SIOH =  0 %
Contingency = 0 %
Planning and Design = 0 %</t>
  </si>
  <si>
    <t>Aircraft Apron, Surfaced</t>
  </si>
  <si>
    <t>Jointed Concrete, Place &amp; Finish,4" - 12"</t>
  </si>
  <si>
    <t>Apron designed in PACES for light type airfield.  Size designed by PACES.
PACES Input Parameters:
Area Cost Factor (ACF) = 1.00
Midpoint of Construction: 1 October 2017
SIOH =  0 %
Contingency = 0 %
Planning and Design = 0 %</t>
  </si>
  <si>
    <t>Missile Launching Pad, Surfaced</t>
  </si>
  <si>
    <t xml:space="preserve">PACES 1.3 </t>
  </si>
  <si>
    <t>PACES Input Parameters:
Area Cost Factor (ACF) = 1.00
Midpoint of Construction: 1 October 2017
SIOH =  0 % / Contingency = 0 % / Planning and Design = 0 %</t>
  </si>
  <si>
    <t>Miscellaneous Airfield Pavement, Surfaced (Asphalt)</t>
  </si>
  <si>
    <t>Asphalt Total</t>
  </si>
  <si>
    <t>Miscellaneous  Airfield Pavement, Surfaced (Concrete)</t>
  </si>
  <si>
    <t>Concrete total</t>
  </si>
  <si>
    <t>2017 RPAD inventory segregated by construction material.  Final RUC is a weighted average based on inventory.
PACES Input Parameters:
Area Cost Factor (ACF) = 1.00
Midpoint of Construction: 1 October 2017
SIOH =  0 %
Contingency = 0 %
Planning and Design = 0 %</t>
  </si>
  <si>
    <t>Aircraft Pavement Shoulder</t>
  </si>
  <si>
    <t>Aircraft Rinse Facility</t>
  </si>
  <si>
    <t>PACES 1.3</t>
  </si>
  <si>
    <t>Contraction Joint, 254.00mm (10")</t>
  </si>
  <si>
    <t>D4020010107</t>
  </si>
  <si>
    <t>Diesel Driven Pump - 9463.53 L/min (2500 GPM), Fire Protection Water Supply</t>
  </si>
  <si>
    <t>D3060010178</t>
  </si>
  <si>
    <t>Water System &amp; Pump Controls</t>
  </si>
  <si>
    <t>D2090030308</t>
  </si>
  <si>
    <t>Oil/Water Separator</t>
  </si>
  <si>
    <t>D2020030132</t>
  </si>
  <si>
    <t>Pump, 18.65 kW(25 HP), Turbine, 1514.2 - 2271.2 L/min(400-600 GPM), 152.4 mm(6") Discharge, 45.72 m(150</t>
  </si>
  <si>
    <t>D2010050501</t>
  </si>
  <si>
    <t>Freeze Proof Multi-Nozzle Spray</t>
  </si>
  <si>
    <t>Aircraft Fueling Facility</t>
  </si>
  <si>
    <t>Study Average  Size</t>
  </si>
  <si>
    <t>PACES 1.3;
DLA/DESC Fuels Facilities Study, March 2009</t>
  </si>
  <si>
    <t>D3060011111</t>
  </si>
  <si>
    <t>Controls, Gas Flow Meter</t>
  </si>
  <si>
    <t>G3060024018</t>
  </si>
  <si>
    <t>6" Stainless Steel Pipe, SCH 40, 304L, SW</t>
  </si>
  <si>
    <t>G3060024216</t>
  </si>
  <si>
    <t>Pipe Cathodic Protection</t>
  </si>
  <si>
    <t>G3060024301</t>
  </si>
  <si>
    <t>Isolation Valve</t>
  </si>
  <si>
    <t>G3060045001</t>
  </si>
  <si>
    <t>Demo Concrete Paving</t>
  </si>
  <si>
    <t>G3060045101</t>
  </si>
  <si>
    <t>Replace Concrete Paving</t>
  </si>
  <si>
    <t>G3060046101</t>
  </si>
  <si>
    <t>Fuel Hydrant, 4" Valve</t>
  </si>
  <si>
    <t>G3060054117</t>
  </si>
  <si>
    <t>Earthwork/Concrete, 6" Pipe</t>
  </si>
  <si>
    <t>G3094070519</t>
  </si>
  <si>
    <t>Utility vaults, meter pit, precast concrete</t>
  </si>
  <si>
    <t xml:space="preserve">PACES Input Parameters:
Area Cost Factor (ACF) = 1.00
Midpoint of Construction: 1 October 2017
SIOH =  0 % / Contingency = 0 % / Planning and Design = 0 %
Original Joint R&amp;K/DESC Study developed RUC in GPM per RPCS
This Calculation is in Outlets
</t>
  </si>
  <si>
    <t>System Cost</t>
  </si>
  <si>
    <t>Cost / OL</t>
  </si>
  <si>
    <t>Vehicle Fueling Facility</t>
  </si>
  <si>
    <t>PACES 1.3; 
DLA/DESC Fuels Facilities Study, March 2009</t>
  </si>
  <si>
    <t>G3060047001</t>
  </si>
  <si>
    <r>
      <rPr>
        <sz val="11"/>
        <rFont val="Calibri"/>
        <family val="2"/>
        <scheme val="minor"/>
      </rPr>
      <t>Foundation</t>
    </r>
    <r>
      <rPr>
        <sz val="11"/>
        <color theme="1"/>
        <rFont val="Calibri"/>
        <family val="2"/>
        <scheme val="minor"/>
      </rPr>
      <t>, Wheeled Vehicle, 152M (6") Concrete</t>
    </r>
  </si>
  <si>
    <t>G3060047102</t>
  </si>
  <si>
    <t>Tank, 7571L (2000 gal), JP8, Wheeled Vehicle</t>
  </si>
  <si>
    <t>G3060047202</t>
  </si>
  <si>
    <t>Dispenser/Piping, JP8, Wheeled Vehicle</t>
  </si>
  <si>
    <t>G3060047302</t>
  </si>
  <si>
    <t>Electrical, JP8, Wheeled Vehicle</t>
  </si>
  <si>
    <t>G3060047401</t>
  </si>
  <si>
    <t>Compressor W/Pre-Engineered Building, Wheeled Vehicle</t>
  </si>
  <si>
    <t>G3060047602</t>
  </si>
  <si>
    <t>Prefab Steel Canopy, High Structure</t>
  </si>
  <si>
    <t>PACES Input Parameters:
Area Cost Factor (ACF) = 1.00
Midpoint of Construction: 1 October 2017
SIOH =  0 % / Contingency = 0 % / Planning and Design = 0 %
Number of outlets per system = 2</t>
  </si>
  <si>
    <t>Cost per OL</t>
  </si>
  <si>
    <t>Aircraft Operating Fuel Storage</t>
  </si>
  <si>
    <t>G3060032001</t>
  </si>
  <si>
    <t>Earthwork, Vertical Above Ground Tank</t>
  </si>
  <si>
    <t>G3060032101</t>
  </si>
  <si>
    <t>Concrete, Vertical Above Ground Tank</t>
  </si>
  <si>
    <t>G3060032201</t>
  </si>
  <si>
    <t>Pipes And Fittings, Vertical Above Ground Tank</t>
  </si>
  <si>
    <t>G3060032301</t>
  </si>
  <si>
    <t>Electrical, Vertical Above Ground Tank</t>
  </si>
  <si>
    <t>G3060032401</t>
  </si>
  <si>
    <t>Controls, Vertical Above Ground Tank</t>
  </si>
  <si>
    <t>G3060032503</t>
  </si>
  <si>
    <t>Tank, 1192400 L (10000 bbl), Vertical Above Ground Tank</t>
  </si>
  <si>
    <t>G3060032701</t>
  </si>
  <si>
    <t>Concrete Covered Berm</t>
  </si>
  <si>
    <t>G3060032703</t>
  </si>
  <si>
    <t>Concrete Covered Basin</t>
  </si>
  <si>
    <t>G3060032902</t>
  </si>
  <si>
    <t>Tank Reinforcing</t>
  </si>
  <si>
    <t xml:space="preserve">PACES Input Parameters:
Area Cost Factor (ACF) = 1.00
Midpoint of Construction: 1 October 2017
SIOH =  0 % / Contingency = 0 % / Planning and Design = 0 %
Designed as a Vertical Upright AGST, 10,000 BBLs per original study
</t>
  </si>
  <si>
    <t>Cost per GA</t>
  </si>
  <si>
    <t>POL Pipeline</t>
  </si>
  <si>
    <t>G3060024011</t>
  </si>
  <si>
    <t>16" Carbon Steel Pipe, SCH 40 C&amp;B427W</t>
  </si>
  <si>
    <t>G3060024402</t>
  </si>
  <si>
    <t>Above Ground Pipe Seismic Reinforcing</t>
  </si>
  <si>
    <t>G3060054116</t>
  </si>
  <si>
    <t>Above Ground Pipe Support, Steel And Reinforced Concrete</t>
  </si>
  <si>
    <t>G3060054123</t>
  </si>
  <si>
    <t>High Point Drain</t>
  </si>
  <si>
    <t>G3060054124</t>
  </si>
  <si>
    <t>Low Point Drain</t>
  </si>
  <si>
    <t>Fuel Loading/Offloading Facility</t>
  </si>
  <si>
    <t>G3060011002</t>
  </si>
  <si>
    <t>Parking Pad</t>
  </si>
  <si>
    <t>G3060011101</t>
  </si>
  <si>
    <t>Direct Off Load Station</t>
  </si>
  <si>
    <t>G3060011201</t>
  </si>
  <si>
    <t>Direct Off Load Pump</t>
  </si>
  <si>
    <t>G3060051401</t>
  </si>
  <si>
    <t>High Point Vent Pit Assembly</t>
  </si>
  <si>
    <t>G3060051402</t>
  </si>
  <si>
    <t>Low Point Pit Assembly</t>
  </si>
  <si>
    <t>G3060901501</t>
  </si>
  <si>
    <t>Electrical/Controls, Truck Offload Station</t>
  </si>
  <si>
    <t>G4090901601</t>
  </si>
  <si>
    <t>CATHODIC PROTECTION, TRUCK OFFLOADING STATION</t>
  </si>
  <si>
    <t xml:space="preserve">PACES Input Parameters:
Area Cost Factor (ACF) = 1.00
Midpoint of Construction: 1 October 2017
SIOH =  0 % / Contingency = 0 % / Planning and Design = 0 %
Designed as a 4 station truck loading facility per original study
</t>
  </si>
  <si>
    <t>POL Pump Station</t>
  </si>
  <si>
    <t>D5090020207</t>
  </si>
  <si>
    <t>125 KW Diesel Generator</t>
  </si>
  <si>
    <t>G3060903701</t>
  </si>
  <si>
    <t>Pump System, 600 GPM</t>
  </si>
  <si>
    <t>G3060903706</t>
  </si>
  <si>
    <t>Product Recovery System, 1800-2400 GPM</t>
  </si>
  <si>
    <t>G3060903710</t>
  </si>
  <si>
    <t>Fuel Filter/Separator</t>
  </si>
  <si>
    <t>G3060903713</t>
  </si>
  <si>
    <t>Stainless Steel Horizontal Filter Separators</t>
  </si>
  <si>
    <t>G3060903720</t>
  </si>
  <si>
    <t>Hand-held Terminal (HHT) Check Out</t>
  </si>
  <si>
    <t xml:space="preserve">PACES Input Parameters:
Area Cost Factor (ACF) = 1.00
Midpoint of Construction: 1 October 2017
SIOH =  0 % / Contingency = 0 % / Planning and Design = 0 %
Designed as a 2400 GPM fuel pump facility per original study
</t>
  </si>
  <si>
    <t>Cost per GM</t>
  </si>
  <si>
    <t>Communications Building</t>
  </si>
  <si>
    <t>Table 2, UFC 3-701-1, 23 May 2018</t>
  </si>
  <si>
    <t>CATCODE</t>
  </si>
  <si>
    <t>Reference Size</t>
  </si>
  <si>
    <t>Unit Cost</t>
  </si>
  <si>
    <t>Inflation Adjustment                        by MILCON Index</t>
  </si>
  <si>
    <t>Adjusted Cost</t>
  </si>
  <si>
    <t>GUC</t>
  </si>
  <si>
    <t>Communications Facility</t>
  </si>
  <si>
    <t>NA;  GUCs are as of                      October 2017</t>
  </si>
  <si>
    <t>Satellite Communications Building</t>
  </si>
  <si>
    <t>USACE PAX Newsletter 3.2.2, 16 May 2016</t>
  </si>
  <si>
    <t>Satellite Terminal Communications Facility</t>
  </si>
  <si>
    <t xml:space="preserve">Marshall and Swift Valuation,                                      October 2017  
</t>
  </si>
  <si>
    <t>Section</t>
  </si>
  <si>
    <t>Current Cost Multiplier</t>
  </si>
  <si>
    <t>67/6</t>
  </si>
  <si>
    <t>Self Supporting Tower, 100 ft</t>
  </si>
  <si>
    <t>Normalizing for Location</t>
  </si>
  <si>
    <t>Marshall and Swift Local Multiplier for Arlington, VA</t>
  </si>
  <si>
    <t>Divided by 2018 DoD ACF for Arlington, VA</t>
  </si>
  <si>
    <t>Average</t>
  </si>
  <si>
    <t>RUC with Military Construction Premium</t>
  </si>
  <si>
    <t>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</si>
  <si>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OSD Design Criteria</t>
  </si>
  <si>
    <t>FAC 1321 aggregates 8 category codes for a variety of antennae across all Services and WHS.</t>
  </si>
  <si>
    <t>Building construction material</t>
  </si>
  <si>
    <t xml:space="preserve">No Unified Facilities Criteria (UFC) criteria exist for component material.  Marshall and Swift is used to calculate the unit cost and is based upon commercial and public utility/governmental antennaes. </t>
  </si>
  <si>
    <t>Facility size</t>
  </si>
  <si>
    <t xml:space="preserve">The average size for this FAC is 2.38 EA (each) based on 3,354 records.  </t>
  </si>
  <si>
    <t>Updated average for 2017 RPAD</t>
  </si>
  <si>
    <t>Fire suppression system type, quality, and coverage</t>
  </si>
  <si>
    <t xml:space="preserve">UFC 3-600-01, "Fire Protection Engineering for Facilities," contains no requirement for antenna fire suppression. </t>
  </si>
  <si>
    <t>Inclusion of a loading dock or similar ancillary feature</t>
  </si>
  <si>
    <t>No UFC requirement exists for the incorporation of a loading dock.</t>
  </si>
  <si>
    <t>Inclusion and capacity of overhead cranes</t>
  </si>
  <si>
    <t xml:space="preserve">No UFC requirement exists for the incorporation of overhead cranes.  </t>
  </si>
  <si>
    <t xml:space="preserve">Established standard for components or materials </t>
  </si>
  <si>
    <t>Applicable Business Rules</t>
  </si>
  <si>
    <t xml:space="preserve">• M&amp;S Selection Business Rule
• MILCON Cost Premium Business Rule
</t>
  </si>
  <si>
    <t>Deleted 3 Business Rules</t>
  </si>
  <si>
    <t>Footnotes</t>
  </si>
  <si>
    <t>UFC 3-600-01, "Fire Protection Engineering for Facilities," 08 August 2016 with Change 2, 25 March 2018</t>
  </si>
  <si>
    <t>Aircraft Navigation Building</t>
  </si>
  <si>
    <t>Aircraft Navigation Facility</t>
  </si>
  <si>
    <t>TASK</t>
  </si>
  <si>
    <t>Units</t>
  </si>
  <si>
    <t>Conversion</t>
  </si>
  <si>
    <t>14/22</t>
  </si>
  <si>
    <t>Armory, Class C, Average (similar in construction to utility building; note: Class C selected as most similar to M&amp;S Selection Business Rule Class B)</t>
  </si>
  <si>
    <t>SF to EA</t>
  </si>
  <si>
    <t>Multiple Category Codes; Assume 10 x 10 ft</t>
  </si>
  <si>
    <t>Communications Lines</t>
  </si>
  <si>
    <t>USACE PAX Newsletter 3.2.2, 30 May 2018;
Marshall and Swift Valuation, October 2017</t>
  </si>
  <si>
    <t>Area Adjustment</t>
  </si>
  <si>
    <t>36-strand Fiber Optic cable w/1" PVC inner duct run in duct bank</t>
  </si>
  <si>
    <t>FT to MI</t>
  </si>
  <si>
    <t>36-strand Fiber Optic splice box including box and 36 splices</t>
  </si>
  <si>
    <t>EA per MI</t>
  </si>
  <si>
    <t>66/1</t>
  </si>
  <si>
    <t>Trench only, LF</t>
  </si>
  <si>
    <t>FT</t>
  </si>
  <si>
    <t>Conduit only, LF</t>
  </si>
  <si>
    <t>Sum</t>
  </si>
  <si>
    <t>Area Adjustment for Marshall and Swift Components is location normalized by multiplying by the M&amp;S local multiplier for Arlington, VA (1.07), then dividing by the DoD Area Cost Factor for Arlington, VA (1.02).</t>
  </si>
  <si>
    <t>Unified Facilities Criteria (UFC) 3-580-01, "Telecommunications Interior Infrastructure Planning and Design."</t>
  </si>
  <si>
    <t xml:space="preserve">Fiber optic cable is the standard called for in UFC 3-580-01 for cable plant between buildings. </t>
  </si>
  <si>
    <t>The average record size is 66 miles; 2017 RPAD has 3,358 records.</t>
  </si>
  <si>
    <t>No UFC requirement exists for the incorporation of a loading dock</t>
  </si>
  <si>
    <t>Fiber optic cable is the standard called for in UFC 3-580-01.</t>
  </si>
  <si>
    <t>UFC 3-580-01, "Telecommunications Interior Infrastructure Planning and Design," with Change 1, 01 June 2016</t>
  </si>
  <si>
    <t>Airfield Pavement Lighting</t>
  </si>
  <si>
    <t>G2060042613</t>
  </si>
  <si>
    <t>Runway Edge Lights</t>
  </si>
  <si>
    <t>KLF</t>
  </si>
  <si>
    <t>$1,745,897.59</t>
  </si>
  <si>
    <t>$549,105.52</t>
  </si>
  <si>
    <t>$31,309.85</t>
  </si>
  <si>
    <t>$2,326,312.95</t>
  </si>
  <si>
    <t>G2060042614</t>
  </si>
  <si>
    <t>Runway Centerline Lights</t>
  </si>
  <si>
    <t>$1,102,343.91</t>
  </si>
  <si>
    <t>$249,009.41</t>
  </si>
  <si>
    <t>$13,418.51</t>
  </si>
  <si>
    <t>$1,364,771.83</t>
  </si>
  <si>
    <t>Airfield Lighting</t>
  </si>
  <si>
    <t>G2060042610</t>
  </si>
  <si>
    <t>Runway Approach Lighting</t>
  </si>
  <si>
    <t>G2060042611</t>
  </si>
  <si>
    <t>End Of Runway Lighting</t>
  </si>
  <si>
    <t>G2060042612</t>
  </si>
  <si>
    <t>Touchdown Zone lighting</t>
  </si>
  <si>
    <t>G2060042620</t>
  </si>
  <si>
    <t>Taxiway Edge Lights</t>
  </si>
  <si>
    <t>G2060042621</t>
  </si>
  <si>
    <t>Taxiway Centerline Lights</t>
  </si>
  <si>
    <t>G2060042630</t>
  </si>
  <si>
    <t>Aircraft Parking Area Perimeter Lighting, Elevated, Quartz, 200W</t>
  </si>
  <si>
    <t>Total Lights</t>
  </si>
  <si>
    <t>Ship Navigation Building</t>
  </si>
  <si>
    <t>NA;  GUCs are as of              October 2017</t>
  </si>
  <si>
    <t>Ship Navigation Facility</t>
  </si>
  <si>
    <t>Marshall and Swift Valuation; October 2017</t>
  </si>
  <si>
    <t>Self-Supporting Tower, 50 FT</t>
  </si>
  <si>
    <t>Air Defense Operations Building</t>
  </si>
  <si>
    <t>Aircraft Operations Facility Without Tower</t>
  </si>
  <si>
    <t>Missile Operations Building</t>
  </si>
  <si>
    <t>Emergency Operations Center / SCIF</t>
  </si>
  <si>
    <t>USACE PAX Newsletter 3.2.2, 30 May 2018</t>
  </si>
  <si>
    <t>Airfield Fire And Rescue Station</t>
  </si>
  <si>
    <t>Aviation Operations Building</t>
  </si>
  <si>
    <t>Air Control Tower</t>
  </si>
  <si>
    <t>Air Traffic / Flight Control Tower</t>
  </si>
  <si>
    <t>Helium Production/Storage Building</t>
  </si>
  <si>
    <t>General Purpose (GP) Warehouse, Installation, Low-Bay (Up to 16-FT Stack Height), &lt; 15,000 SF</t>
  </si>
  <si>
    <t>Hazardous Waste Storage Building - Tactical Equipment Maintenance Facility (TEMF)</t>
  </si>
  <si>
    <t>Average Size</t>
  </si>
  <si>
    <t>Weighted Average</t>
  </si>
  <si>
    <t>Helium Storage Facility</t>
  </si>
  <si>
    <t>61/8</t>
  </si>
  <si>
    <t>Welded Steel Pressure Tank, 9,000 gallons</t>
  </si>
  <si>
    <t>Welded Steel Pressure Tank, 15,000 gallons</t>
  </si>
  <si>
    <t>Ship Operations Building</t>
  </si>
  <si>
    <t>Headquarters / Operations Buildings (See explanation below)</t>
  </si>
  <si>
    <t>In the supporting data for Table 2, Unified Facilities Criteria (UFC) 3-701-1, 23 May 2018, there are three projects awarded in FAC 1431 / CATCODE 14341 (Amphibious Operations Building) of the eight projects that were used to develop the GUC for "Headquarters/Operations Buildings: Company Level (Lowest Level)," and one project in FAC 1431/ CATCODE 14365 (Operation Control Center) of the four projects that were used to develop the GUC for "Headquarters/Operations Buildings: Brigade/Division Wing HQS (Upper Level)."   According to UFC, Section 2-2, "average unit costs for new construction [are] based on no less than three project awards per building type occurring since September 2014 for Army, Navy and Air Force ..." projects.  The normalized unit costs for each of these four FAC 1431 projects were averaged to obtain a more specific, modified GUC.  These four projects are listed in the table below:</t>
  </si>
  <si>
    <t>Photo/TV Production Building</t>
  </si>
  <si>
    <t xml:space="preserve">Marshall and Swift Valuation,                                                      October 2017  
</t>
  </si>
  <si>
    <t>14/19</t>
  </si>
  <si>
    <t>Broadcast Facility, Class B, Average</t>
  </si>
  <si>
    <t>14/37</t>
  </si>
  <si>
    <t>Sprinkler, 5000 SF, Wet System, Average</t>
  </si>
  <si>
    <t>SUM</t>
  </si>
  <si>
    <t>Marshall and Swift (Class B) Local Multiplier for Arlington, VA</t>
  </si>
  <si>
    <t>Operations Support Lab</t>
  </si>
  <si>
    <t>14/17</t>
  </si>
  <si>
    <t>Laboratory Building, Class B, Average</t>
  </si>
  <si>
    <t>Sprinkler, 10,000 SF, Dry System, Average</t>
  </si>
  <si>
    <t>RUC with Military Cost Premium</t>
  </si>
  <si>
    <t xml:space="preserve">Unified Facilities Criteria (UFC) for Multi-Disciplinary and Facility Specific Design (4 Series) is not provided for this type of facility.  The only UFC in the 4-300 Series for laboratories is 4-390-01, “O&amp;M: Unmanned Pressure Test Facilities Safety Certification Manual,” which does not apply to this FAC.
</t>
  </si>
  <si>
    <t xml:space="preserve">No UFC criteria exist for component material.  
Applying the Marshall &amp; Swift Business Rule, the FAC is Marshall &amp; Swift Class B, Average Quality.  Commercial building construction material is implied by using Marshall and Swift's “Laboratory Building."  
</t>
  </si>
  <si>
    <t xml:space="preserve">The average area of this FAC is 12,148 SF, based on 226 records.
The International Building Code Occupancy Group assigned is B, Business.
</t>
  </si>
  <si>
    <t xml:space="preserve">International Building Code (IBC) Group B.
A sprinkler is incorporated, applying the Fire Sprinkler Business Rule
</t>
  </si>
  <si>
    <t xml:space="preserve">No UFC requirement exists for the incorporation of a loading dock
The average number of floors above ground is 1.12; applying the Elevator Business Rule, no elevator is incorporated. 
</t>
  </si>
  <si>
    <t xml:space="preserve">No overhead cranes applying the Overhead Crane Business Rule.  </t>
  </si>
  <si>
    <t>No UFC criteria exist for component material, other than those consistent with fire safety noted above in building construction material.</t>
  </si>
  <si>
    <t xml:space="preserve">• M&amp;S Selection Business Rule
• Elevator Business Rule
• Fire Sprinkler Business Rule
• Overhead Crane Business Rule
• MILCON Cost Premium Business Rule
</t>
  </si>
  <si>
    <t>Operations Supply Building</t>
  </si>
  <si>
    <t>14/23</t>
  </si>
  <si>
    <t>Distribution Warehouse, Class B, Average</t>
  </si>
  <si>
    <t>55/5</t>
  </si>
  <si>
    <t>Overhead door, Rollup, 8' X 8", 2 EA</t>
  </si>
  <si>
    <t>SF of door</t>
  </si>
  <si>
    <t>Overhead door electric operation</t>
  </si>
  <si>
    <t>65/12</t>
  </si>
  <si>
    <t>Dock bumper, Horizontal, Per LF, 10 FT length</t>
  </si>
  <si>
    <t>Per SF</t>
  </si>
  <si>
    <t>Dock leveler, hydraulic</t>
  </si>
  <si>
    <t>Dock seal, 10 inch projection</t>
  </si>
  <si>
    <t>Dock shelter</t>
  </si>
  <si>
    <t xml:space="preserve">Unified Facilities Criteria (UFC) 4-440-01, Warehouse and Storage Facilities, provides general guidance for this FAC. </t>
  </si>
  <si>
    <t xml:space="preserve">UFC 4-440-01 allows the use of insulated metal siding, brink or concrete masonry, or tilt-up precast or cast in place concrete panels .   
This is consistent with the type of building selected using the Marshall &amp; Swift Business Rule, the FAC is Class B, Average Quality.  
</t>
  </si>
  <si>
    <t xml:space="preserve">The average area of this FAC is 7,330 SF, based on 2,159 records.
The International Building Code (IBC) Occupancy Group assigned is B, Business.
</t>
  </si>
  <si>
    <t xml:space="preserve">IBC Group B
UFC 4-440-01 requires compliance with the NFPA 13  and UFC 3-600-01 .  UFC 3-600-01, "Fire Protection Engineering for Facilities," refers the designer to the IBC.  The Fire Sprinkler Business Rule incorporates the requirements of National Fire Protection Assocaition (NFPA) Standard 13, UFC 3-600-01 and the IBC.  Application of the Fire Sprinkler Business Rule requires a sprinkler system to be installed in this type of facility.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</si>
  <si>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1:10,000.    For this FAC, 1 loading dock assembly is provided.   
An elevator is not provided as the average number of floors is 1.05; applying the Elevator Business Rule, no elevator is incorporated. 
</t>
  </si>
  <si>
    <t xml:space="preserve">UFC 4-440-01 states that overhead bridge cranes may not be required.  Because bridge cranes are not required, no overhead crane is included, applying the Overhead Crane Business Rule.  </t>
  </si>
  <si>
    <t>UFC 4-440-01 provides the criteria for component material.</t>
  </si>
  <si>
    <t>UFC 4-440-01, "Warehouse and Storage Facilities," 01 October 2014.
NFPA 13, "Standard for the Installation of Fire Sprinkler Systems," 2016
UFC 3-600-01, "Fire Protection Engineering for Facilities," 08 August 2016 with Change 2, 25 March 2018
NAIOP Research Foundation, "NAIOP Terms and Definitions: North American Office and Industrial Market," 2012                                                                                                                              IBC, 2018 edition</t>
  </si>
  <si>
    <t>Miscellaneous Operations Support Building</t>
  </si>
  <si>
    <t>Headquarters/Operations Building: Company Level</t>
  </si>
  <si>
    <t>Working Animal Support Building</t>
  </si>
  <si>
    <t>Kennel Facilities</t>
  </si>
  <si>
    <t>Security Force Building</t>
  </si>
  <si>
    <t>15/33</t>
  </si>
  <si>
    <t>Police Station, Class B, Average</t>
  </si>
  <si>
    <t>15/36</t>
  </si>
  <si>
    <t>Elevator, Passenger, base Cost, 2-3 story</t>
  </si>
  <si>
    <t>15/37</t>
  </si>
  <si>
    <t>Sprinkler, 15,000 SF, Wet System, Average</t>
  </si>
  <si>
    <t xml:space="preserve">Unified Facilities Criteria (UFC) for Multi-Disciplinary and Facility Specific Design (4 Series) is not provided for this type of facility.  </t>
  </si>
  <si>
    <t xml:space="preserve">No UFC criteria exist for component material.  
Applying the Marshall and Swift Selection Business Rule, the FAC is  Marshall &amp; Swift Class B, Average Quality.
</t>
  </si>
  <si>
    <t xml:space="preserve">The average area for this FAC is 12,215 SF.
The Occupancy Group assigned is B, Business.
</t>
  </si>
  <si>
    <t xml:space="preserve">International Building Code Occupancy Group B.
A fire sprinkler has been incorporated, applying the Fire Sprinkler Business Rule.
</t>
  </si>
  <si>
    <t xml:space="preserve">No UFC requirement exists for the incorporation of a loading dock.
The average number of floors is 1.36.  One (1) elevator has been included in the estimated cost in consonance with the Elevator Business Rule.
</t>
  </si>
  <si>
    <t>No overhead crane is provided, applying the Overhead Crane Business Rule.</t>
  </si>
  <si>
    <t>No UFC criteria exist for component material.</t>
  </si>
  <si>
    <t>Mechanical Security Barricade</t>
  </si>
  <si>
    <t>USACE PAX Newsletter 3.2.2,  30 May 2018</t>
  </si>
  <si>
    <t>Inflation Adjustment by MILCON Index</t>
  </si>
  <si>
    <t>Crash Barrier, 12' Wide,  portable wedge crash, including LME for complete installation</t>
  </si>
  <si>
    <t>NA</t>
  </si>
  <si>
    <t>Crash Barrier, 20' Wide Sliding Roller, including LME for complete installation</t>
  </si>
  <si>
    <t>Crash Barrier, 20' Wide Sliding Cantilever, including LME for complete installation</t>
  </si>
  <si>
    <t>Raised Bollard Crash Barrier, 10' Wide, Standard Power, including LME for complete installation</t>
  </si>
  <si>
    <t>Raised Bollard Crash Barrier, 12' Wide, Standard Power, including LME for complete installation</t>
  </si>
  <si>
    <t>Raised Bollard Crash Barrier, 10' Wide, Solar Power, including LME for complete installation</t>
  </si>
  <si>
    <t>Raised Bollard Crash Barrier, 12' Wide, Solar Power, including LME for complete installation</t>
  </si>
  <si>
    <t>In-ground Tire Shredder, 15" Wide, including LME for complete installation</t>
  </si>
  <si>
    <t>Overhead Cover</t>
  </si>
  <si>
    <t>USACE PAX Newsletter 3.2.2, 6 April 2017</t>
  </si>
  <si>
    <t>Canopy for Covered Hardstand (not Enclosed)</t>
  </si>
  <si>
    <t>Aircraft Arresting System</t>
  </si>
  <si>
    <t>G2060902721</t>
  </si>
  <si>
    <t>Arresting System - BAK 12/BAK 14 B/G (Below Ground)</t>
  </si>
  <si>
    <t>$2,166,854.68</t>
  </si>
  <si>
    <t>$32,697.30</t>
  </si>
  <si>
    <t>$10,825.18</t>
  </si>
  <si>
    <t>$2,210,377.17</t>
  </si>
  <si>
    <t>G2060902723</t>
  </si>
  <si>
    <t>Arresting System - BAK 12/61QS2 B/G (Below Ground)</t>
  </si>
  <si>
    <t>$1,959,280.26</t>
  </si>
  <si>
    <t>$2,002,802.75</t>
  </si>
  <si>
    <t>Total Systems</t>
  </si>
  <si>
    <t xml:space="preserve">        </t>
  </si>
  <si>
    <t>Aircraft Blast Deflector</t>
  </si>
  <si>
    <t>G2060902710</t>
  </si>
  <si>
    <t>Blast Deflector, U-Shaped</t>
  </si>
  <si>
    <t>$1,012,393.06</t>
  </si>
  <si>
    <t>$935,219.02</t>
  </si>
  <si>
    <t>$35,532.20</t>
  </si>
  <si>
    <t>$1,983,144.28</t>
  </si>
  <si>
    <t>Aircraft Shelter</t>
  </si>
  <si>
    <t>AF Military Construction Program</t>
  </si>
  <si>
    <t>Inflation Adjustment</t>
  </si>
  <si>
    <t>MILCON Projects</t>
  </si>
  <si>
    <t>F-35A Aircraft Shelter, Category Code 141-181</t>
  </si>
  <si>
    <t>SM</t>
  </si>
  <si>
    <t>Military Cost Premium not added because cost taken from military construction document</t>
  </si>
  <si>
    <r>
      <t>This unit price based upon two Air Force MILCON DD Forms 1391 Project Data Sheets submitted to Congress for the FY17 program (Projects # FTQW170112 and FTQW183001) for construction of two 16-bay aircraft  weather shelters at Eielson AFB.  No shelters in the FY15 or FY16 MILCON programs.  Area Cost Factor derived from USACE PAX 3.2.1 Area Cost Factors,</t>
    </r>
    <r>
      <rPr>
        <sz val="11"/>
        <rFont val="Calibri"/>
        <family val="2"/>
        <scheme val="minor"/>
      </rPr>
      <t xml:space="preserve"> 24 April 2018</t>
    </r>
    <r>
      <rPr>
        <sz val="11"/>
        <color theme="1"/>
        <rFont val="Calibri"/>
        <family val="2"/>
        <scheme val="minor"/>
      </rPr>
      <t>.</t>
    </r>
  </si>
  <si>
    <t>Aircraft Support Facility</t>
  </si>
  <si>
    <t xml:space="preserve">Pro Rated based on number of RPAD records </t>
  </si>
  <si>
    <t>Weighted Cost</t>
  </si>
  <si>
    <t>FAC 8927 Utility Vault</t>
  </si>
  <si>
    <t>FAC 8930 Installation Gas Distribution</t>
  </si>
  <si>
    <t>LF to EA</t>
  </si>
  <si>
    <t>FAC 1341 Aircraft Navigation Facility</t>
  </si>
  <si>
    <t>Weighted Sum</t>
  </si>
  <si>
    <t>Military Cost Premium included in component FACs</t>
  </si>
  <si>
    <r>
      <t xml:space="preserve">There are 44 assets listed in the 2017 RPAD for FAC 1467, which is comprised of three category codes (CATCODE): 
</t>
    </r>
    <r>
      <rPr>
        <sz val="11"/>
        <rFont val="Calibri"/>
        <family val="2"/>
        <scheme val="minor"/>
      </rPr>
      <t>• Air Force 149629, Cold Fog Dispersal System;  however, there is one (1) AF asset in this FAC in the 2017 RPAD.</t>
    </r>
    <r>
      <rPr>
        <sz val="11"/>
        <color theme="1"/>
        <rFont val="Calibri"/>
        <family val="2"/>
        <scheme val="minor"/>
      </rPr>
      <t xml:space="preserve">
• Navy 14915, Navy Fixed Point Utility Support: There are 39 currently in the inventory.  This could  be an air-start system, environmental control system, flight line electrical distribution system (FLEDS) or point-of-use frequency converter system according to UFC 2-000-05N.  
• Navy/Marine Corps 14985, Expeditionary Air Control Site: There are 4 assets in the inventory.  According to Unified Facilities Criteria (UFC) 2-000-05N, this CATCODE represents  Marine Corps facilities required to accommodate, in garrison, the equipment used for expeditionary aircraft command and control.  UFC 2-000-05N points to UFC 4-141-10N for details, and that document, in turn, republishes MIL-HDBK 1024/1 of 1992 for criteria.  MIL-HDBK 1024/1 describes a collection of facilities including radio and radar towers and prefabricated buildings as collectively comprising the category code.   Of the 4 records for 14985, all are Marine Corps facilities, all in the US, with acquisition in 2011, 1997, 1984, 1972.  While the relocatable buildings are not included in RUC calculation, this CATCODE can be represented by FAC 1341, Aircraft Navigation Facility. 
</t>
    </r>
  </si>
  <si>
    <t>Nuclear Weapons Support Facility</t>
  </si>
  <si>
    <t>Assumed Size</t>
  </si>
  <si>
    <t>5,000 SF</t>
  </si>
  <si>
    <t xml:space="preserve">14/15 </t>
  </si>
  <si>
    <t>Industrials, Heavy (Process) Manufacturing, Class A, Average, including elevator and craneway</t>
  </si>
  <si>
    <t>14/15</t>
  </si>
  <si>
    <t>Deduction for no elevator</t>
  </si>
  <si>
    <t>58/6</t>
  </si>
  <si>
    <t>Bridge Crane, 20' span, 5 Ton</t>
  </si>
  <si>
    <t>Craneway electrical conductor</t>
  </si>
  <si>
    <t>Sprinkler, 5000 SF, Dry System, Average</t>
  </si>
  <si>
    <t>There is no inventory in 2017 RPAD for this FAC; assumed dimensions are 50' x 100'</t>
  </si>
  <si>
    <t>Explosives Holding/Transfer Area</t>
  </si>
  <si>
    <t>Inflation Adjustment -                       MILCON Index</t>
  </si>
  <si>
    <t>Backfill and Compaction, Dozer Backfill, Roller Compaction in 12" Layers</t>
  </si>
  <si>
    <t>CY/SY</t>
  </si>
  <si>
    <t>Base Course, 1-1/2" Crushed Stone, 12" Deep, Compacted, including Material &amp; Transportation, excluding Earthwork</t>
  </si>
  <si>
    <t xml:space="preserve">Reinforced Concrete Pavement, 8" Thick, 4,500 PSI, Fixed Form, 12" Pass, including Joints, Finishings &amp; Curing, Excluding Earthwork </t>
  </si>
  <si>
    <t>Note: Lightning protection and fence calculated separately as stand-alone assets</t>
  </si>
  <si>
    <t>Explosives Railway Holding Yard</t>
  </si>
  <si>
    <t>66/3</t>
  </si>
  <si>
    <t>Rail Spur, 130# rail, assume 1,000 LF</t>
  </si>
  <si>
    <t>LF Total</t>
  </si>
  <si>
    <t>Add for Rail Turnout, Assume 2</t>
  </si>
  <si>
    <t>17/29</t>
  </si>
  <si>
    <t>Arch-rib (Quonset) Farm Implement Building, Class D, Average  (Assume 4 EA)</t>
  </si>
  <si>
    <t>SF Total</t>
  </si>
  <si>
    <t>51/3</t>
  </si>
  <si>
    <t>Reinforced Concrete foundation walls for Quonset Building, 12":  4 EA x 150 LF X 10' high = 6,000 SF wall</t>
  </si>
  <si>
    <t>51/2</t>
  </si>
  <si>
    <t>Berm, bulk excavation, medium earth, placed around each Quonset building (parabolic section (2/3 b*h) 60 FT long, 10 FT high, 8 EA = 3,216 CF</t>
  </si>
  <si>
    <t>Explosives Holding/Transfer Facility</t>
  </si>
  <si>
    <t>Base Course, 1-1/2" Crushed Stone, 8" Deep, Compacted, including Material &amp; Transportation, excluding Earthwork</t>
  </si>
  <si>
    <t>Asphalt Concrete Paving Surface, 3" Thick Plant Mix, Excluding Earthwork</t>
  </si>
  <si>
    <t>Average Facility Size derived from 2017 RPAD ([111  FT x 74 FT]/9 SF/SY)</t>
  </si>
  <si>
    <t>Note: Lightning protection and fence calculated separately as stand alone assets</t>
  </si>
  <si>
    <t>Revetment</t>
  </si>
  <si>
    <t>Backfill and compaction, confined area, medium earth</t>
  </si>
  <si>
    <t>CY to EA</t>
  </si>
  <si>
    <t>Haul and Fill, 5 CY Truck, 3 miles</t>
  </si>
  <si>
    <t>Gabions filled with stone</t>
  </si>
  <si>
    <t>SY to EA</t>
  </si>
  <si>
    <t>Geotextile fabric</t>
  </si>
  <si>
    <t>Assume 150 LF, 8 FT High x 4 FT Wide revetment; 4,800 CF = 177 CY volume and 133 SY per side</t>
  </si>
  <si>
    <t>Unified Facilities Criteria (UFC) 3-220-10N, Soil Mechanics; and, UFC 3-201-01, Civil Engineering, contain no design criteria for revetments.  UFC 3-220-01, Geotechnical Engineering,  requires a registered design professional evaluate conditions and the safety factors of new construction.  The replacement unit cost calculation materials and quantities were developed by Mr. Gary Calese, P.E., a registered design professional.</t>
  </si>
  <si>
    <t xml:space="preserve">No UFC criteria exist for component material.  </t>
  </si>
  <si>
    <t>The average size for this FAC is 9 EA (each); 1,638 records)</t>
  </si>
  <si>
    <t xml:space="preserve">UFC 3-600-01, "Fire Protection Engineering for Facilities," contains no requirement for fire suppression. </t>
  </si>
  <si>
    <t>No UFC criteria exist for component material .</t>
  </si>
  <si>
    <t xml:space="preserve">Documentation for proposed business rules reflecting DoD established practices for components or materials  </t>
  </si>
  <si>
    <t xml:space="preserve">UFC 3-220-10N, "Soil Mechanics," 08 June 2005
UFC 3-201-01, "Civil Engineering," 01 April 2018 
UFC 3-220-01, "Geotechnical Engineering," 1 November 2012, para. 2-3.11.2
UFC 3-600-01, "Fire Protection Engineering for Facilities," 08 August 2016 with Change 2, 25 March 2018
</t>
  </si>
  <si>
    <t>Central Vehicle Wash Facility</t>
  </si>
  <si>
    <t>Central Wash Facility, 16 Stations</t>
  </si>
  <si>
    <t>Security Support Building</t>
  </si>
  <si>
    <t>Search Office/ Sentry Building</t>
  </si>
  <si>
    <t>Gatehouse</t>
  </si>
  <si>
    <t>Guard booth</t>
  </si>
  <si>
    <t>Miscellaneous Operations Support Facility</t>
  </si>
  <si>
    <t xml:space="preserve"> USACE PAX Newsletter 3.2.2;
Marshall and Swift Valuation, October 2017</t>
  </si>
  <si>
    <t>Category Code</t>
  </si>
  <si>
    <t>Underground Administrative Facility (USACE PAX Newsletter, 20 Mar 2009)</t>
  </si>
  <si>
    <t>Control Tower - open observation deck (USACE PAX Newsetter, 30 May 2018)</t>
  </si>
  <si>
    <t>53/10</t>
  </si>
  <si>
    <t>Water Well, without pump, 130' deep, 5" casing,  Average, assume 2 monitoring wells</t>
  </si>
  <si>
    <t>FT to EA</t>
  </si>
  <si>
    <t>Weighted Average RUC</t>
  </si>
  <si>
    <t xml:space="preserve">FAC 1499 is comprised primarily of three category codes (4,393 total assets, with 3,459 assets in the three predominant category codes): 
• Air Force 149411 &amp; Army 14181: Bunker / Safety Shelter  (1,544 assets)
• Air Force 872845 &amp; Army 14940: Tower / Security Tower (779 assets) 
• Air Force 892921 &amp; Army 89210: Monitoring Wells (1,136 assets) </t>
  </si>
  <si>
    <t>Pier</t>
  </si>
  <si>
    <t>Unit Price</t>
  </si>
  <si>
    <t>Military Cost Premium not added because reference cost taken from military construction documents</t>
  </si>
  <si>
    <t>RUC is based upon a study conducted for Commander, Navy Installations Command (CNIC) in FY2009, which appears below in full.   In the 2017 RPAD, there are 360 assets in FAC 1511, with an average size of 4,672 SY.</t>
  </si>
  <si>
    <t>Wharf</t>
  </si>
  <si>
    <r>
      <t>RUC is based upon a study conducted forCommander, Navy Installations Command (CNIC) in FY2009, which appears below in full.  Under the direction of CNIC, the replacement unit cost for FAC 1512 is set equal to FAC 1511.</t>
    </r>
    <r>
      <rPr>
        <sz val="11"/>
        <color theme="3" tint="0.39997558519241921"/>
        <rFont val="Calibri"/>
        <family val="2"/>
        <scheme val="minor"/>
      </rPr>
      <t xml:space="preserve">   </t>
    </r>
    <r>
      <rPr>
        <sz val="11"/>
        <color theme="1"/>
        <rFont val="Calibri"/>
        <family val="2"/>
        <scheme val="minor"/>
      </rPr>
      <t>In the 2017 RPAD, there are 367 assets in FAC 1512, with an average size of 4,832 SY.</t>
    </r>
  </si>
  <si>
    <t>Pier/Wharf Access Trestle</t>
  </si>
  <si>
    <t>Ship &amp; Boat Dock, Heavy Construction, Heavy wood girders, including railing, utilities, fenders; exclusive of buildings</t>
  </si>
  <si>
    <t>SF to SY</t>
  </si>
  <si>
    <t>Marine Cargo Staging Area</t>
  </si>
  <si>
    <t>Rough Grading, No Compaction</t>
  </si>
  <si>
    <t>Fine Grading, with Dozer, 6" Lifts</t>
  </si>
  <si>
    <t>1-1/2" Crushed Stone Base to  6" Deep</t>
  </si>
  <si>
    <t>8" Thick, Reinforced Concrete Pavement, 4500 PSI</t>
  </si>
  <si>
    <t>Note: Lightning protection and fence are calculated separately at stand-alone assets</t>
  </si>
  <si>
    <t>Shore Erosion Prevention Facility</t>
  </si>
  <si>
    <t>51/4</t>
  </si>
  <si>
    <t>Seawall concrete, precast, 5” - 6”, including ties or piling</t>
  </si>
  <si>
    <t>Large Commercial Project Reduction</t>
  </si>
  <si>
    <t>Small Craft Berthing</t>
  </si>
  <si>
    <t>Ship and boat docks, medium, 4" decking, Average piling, including fenders, railings, utilities; exclusive of buildings</t>
  </si>
  <si>
    <t>SF/FB</t>
  </si>
  <si>
    <t>Convert SF to FB:  Width of pier or wharf = 40.  Assume 1/2 pier, 1/2 wharf.  Average of (40 SF/2 FB + 40SF/1 FB) = 30 SF/FB</t>
  </si>
  <si>
    <t>FB = LF of Berthing</t>
  </si>
  <si>
    <t>Small Craft Building</t>
  </si>
  <si>
    <t>17/18</t>
  </si>
  <si>
    <t>Boat Storage Shed, Class S, Average, Metal on steel frame; boat racks &amp; minimum electrical/water service</t>
  </si>
  <si>
    <t>Miscellaneous Waterfront Facility</t>
  </si>
  <si>
    <t>Grading and Surplus disposal, High Cost</t>
  </si>
  <si>
    <t>66/2</t>
  </si>
  <si>
    <t xml:space="preserve">Concrete, 8", bar reinforced </t>
  </si>
  <si>
    <t>Ship and boat docks, Medium, 4" Decking, Average piling, including fenders, railings, utilities, exclusive of buuildings; Assume 500 SF</t>
  </si>
  <si>
    <t>Assumed Size of Boat/Seaplane Ramp = 2500 SF</t>
  </si>
  <si>
    <t>Harbor Marine Improvements</t>
  </si>
  <si>
    <t>Seawall Concrete, Precast, 5” - 6” including ties or piling</t>
  </si>
  <si>
    <t>Commercial Reduction</t>
  </si>
  <si>
    <t>Riprap, 6' Wide x 8' Tall, shore protection</t>
  </si>
  <si>
    <t>SY to LF</t>
  </si>
  <si>
    <t>Ave</t>
  </si>
  <si>
    <t>General Purpose Instruction Building</t>
  </si>
  <si>
    <t>Academic Instruction Building: Applied Instructions (Hands-on Training)</t>
  </si>
  <si>
    <t>Applied Instruction Building</t>
  </si>
  <si>
    <t>Band Training Facility</t>
  </si>
  <si>
    <t xml:space="preserve">USACE PAX Newsletter 3.2.2, 30 May 2018                                                         </t>
  </si>
  <si>
    <t>Training Support Center</t>
  </si>
  <si>
    <t>Reserve Training Facility</t>
  </si>
  <si>
    <t>Armed Forces Reserve Center</t>
  </si>
  <si>
    <t>Physical Education Building</t>
  </si>
  <si>
    <t>Physical Fitness Facility</t>
  </si>
  <si>
    <t>Organizational Classroom</t>
  </si>
  <si>
    <t>Academic Instruction Building: General Instruction (Lecture/Classroom)</t>
  </si>
  <si>
    <t>Indoor Firing Range and Supporting Facility</t>
  </si>
  <si>
    <t>Indoor Firing Range</t>
  </si>
  <si>
    <t>Flight Simulator Facility</t>
  </si>
  <si>
    <t>Academic Instruction Buildings: High Bay w/ Simulation Training - Large (&gt;18,000 SF)</t>
  </si>
  <si>
    <t>Physiological Training Facility</t>
  </si>
  <si>
    <t>Academic Instruction Buildings: High Bay w/ Simulation Training - Small (&lt;18,000 SF)</t>
  </si>
  <si>
    <t>Gas Training Facility</t>
  </si>
  <si>
    <t xml:space="preserve">USACE PAX Newsletters 3.2.2                                                        </t>
  </si>
  <si>
    <t>Range Classroom Building (USACE PAX Newsletter 3.2.2, 30 May 2018)</t>
  </si>
  <si>
    <t>After-Action Review (AAR) Building - Small  (USACE PAX Newsletter 3.2.2, 6 April 2017)</t>
  </si>
  <si>
    <t>General Purpose Simulator Facility</t>
  </si>
  <si>
    <t>Training Pool and Tank</t>
  </si>
  <si>
    <t>Marshall and Swift Valuation, October 2017</t>
  </si>
  <si>
    <t>Pour Concrete Pool, 25 M x 50 M = 13,455 SF Surface Area</t>
  </si>
  <si>
    <t>18/22</t>
  </si>
  <si>
    <t>Natatorium, Class C, Good</t>
  </si>
  <si>
    <t>SF/EA</t>
  </si>
  <si>
    <t>18/36</t>
  </si>
  <si>
    <t>1 SM = 10.764 SF</t>
  </si>
  <si>
    <t>Range Support Building</t>
  </si>
  <si>
    <t>Ammunition Breakdown Building</t>
  </si>
  <si>
    <t>Operations/Storage Building Small</t>
  </si>
  <si>
    <t>Range Classroom Building</t>
  </si>
  <si>
    <t>After Action Review Building -Small (USACE PAX Newsletter 3.2.2, 6 April 2017)</t>
  </si>
  <si>
    <t xml:space="preserve">Covered Mess - Range (Small) </t>
  </si>
  <si>
    <t>Training Aids Support Building</t>
  </si>
  <si>
    <t>Training Aid Support Center for Range Complex</t>
  </si>
  <si>
    <t>Training Support Structure</t>
  </si>
  <si>
    <t>Covered Bleacher - Range  (Bleacher Enclosure), EA</t>
  </si>
  <si>
    <t>EA/SF</t>
  </si>
  <si>
    <t>Covered Mess - Range (Large) (USACE PAX Newsletter 3.2.2, 6 April 2017)</t>
  </si>
  <si>
    <t>Observation Tower/Bunker</t>
  </si>
  <si>
    <t>Control Tower - open observation deck</t>
  </si>
  <si>
    <t>Parade and Drill Field</t>
  </si>
  <si>
    <r>
      <t>Marshall and Swift Valuation,                                                      Octob</t>
    </r>
    <r>
      <rPr>
        <b/>
        <sz val="11"/>
        <color theme="1"/>
        <rFont val="Calibri"/>
        <family val="2"/>
        <scheme val="minor"/>
      </rPr>
      <t>er 2017</t>
    </r>
  </si>
  <si>
    <t>66/8</t>
  </si>
  <si>
    <t>Soil preparation, Fine grading, Average</t>
  </si>
  <si>
    <t>SF to AC</t>
  </si>
  <si>
    <t>Hydroseeding, Average</t>
  </si>
  <si>
    <t>Rain Bird or Rain Jet system lawn sprinklers, large area</t>
  </si>
  <si>
    <t>General Purpose Small Arms Range</t>
  </si>
  <si>
    <t>Standard Size</t>
  </si>
  <si>
    <t>Section/ CATCODE</t>
  </si>
  <si>
    <t xml:space="preserve">SIT Emplacement (62 SF concrete x 8" thick with bar reinforcing), per FP </t>
  </si>
  <si>
    <t>SF per FP</t>
  </si>
  <si>
    <t>54/1</t>
  </si>
  <si>
    <t>Service Switchgear, 100 Amps, Light Commercial</t>
  </si>
  <si>
    <t>EA per FP</t>
  </si>
  <si>
    <t>Circuit Breaker, 240-480 Volts, 20-60 Amps</t>
  </si>
  <si>
    <t>54/3</t>
  </si>
  <si>
    <t>Outlet, Rigid Conduit, Average, with Ground Fault Interrupter, 4 per SIT</t>
  </si>
  <si>
    <t>54/2</t>
  </si>
  <si>
    <t>Underground Wiring, 2", plastic duct, plus excavation and backfill (574 FT Average Distance)</t>
  </si>
  <si>
    <t>LF per FP</t>
  </si>
  <si>
    <t>Foxhole with Drain (36" reinforced Concrete Culvert. 4' deep)</t>
  </si>
  <si>
    <t>Berm, 522 M x 2M x 5M = 6,828 CY; backfill &amp; compaction</t>
  </si>
  <si>
    <t>CY per FP</t>
  </si>
  <si>
    <t>Bank run gravel, Spread w/ 200 HP Dozer, including load at pit &amp; haul, 2 MI round trip, no compaction (409 CY per berm)</t>
  </si>
  <si>
    <t>Zero Range</t>
  </si>
  <si>
    <t>TC 25-8 Standard Size / Basic 10M-25M Firing Range (Zero)</t>
  </si>
  <si>
    <t>Foxhole with Drain (36" reinforced Concrete Storm Drainage, 4' deep)</t>
  </si>
  <si>
    <t>Range Components Price List</t>
  </si>
  <si>
    <t xml:space="preserve">Target Boots / 4 per FP; Concrete perimeter footing, 12" below grade </t>
  </si>
  <si>
    <t>EA to FP</t>
  </si>
  <si>
    <t>Reference</t>
  </si>
  <si>
    <t>End Item</t>
  </si>
  <si>
    <t xml:space="preserve">Component Price </t>
  </si>
  <si>
    <t>CC Multiplier</t>
  </si>
  <si>
    <t>Underground Wiring, 2", plastic duct, plus excavation and backfill</t>
  </si>
  <si>
    <t>Structure, Reinforced concrete (Armory, Class CDS) 12 ea., 1,800 SF</t>
  </si>
  <si>
    <t>Berm, 148 M x 2 M x 5 M = 1,936 CY; backfill &amp; compaction</t>
  </si>
  <si>
    <t>17/31</t>
  </si>
  <si>
    <t>Urban Cluster (Bank Barn, 2-Story, Class D, Low Cost)  (Use Class C Current Cost Multiplier for consistency)</t>
  </si>
  <si>
    <t>Bank run gravel, Spread, 387 CY per berm</t>
  </si>
  <si>
    <t>Target Bunker (Catch Basin,  4' deep)</t>
  </si>
  <si>
    <t xml:space="preserve">SIT  / WSIT Emplacement or Vehicle Firing Point (62, 94, or 128 SF concrete x 8" thick with bar reinforcing) </t>
  </si>
  <si>
    <t xml:space="preserve">SAT Emplacement or VBP Defilade (468 or 481 SF concrete x 12" thick w/Rebar) </t>
  </si>
  <si>
    <t>MIT / MAT Emplacement 12" concrete wall or concrete bunker 12" concrete</t>
  </si>
  <si>
    <t>Field Fire Range</t>
  </si>
  <si>
    <t>TC 25-8 Standard Size / Automated Field Fire Range</t>
  </si>
  <si>
    <t>Slab on Grade, 6" reinforced</t>
  </si>
  <si>
    <t>SIT Emplacement (62 SF concrete x 8" thick w/Rebar), 3 per FP</t>
  </si>
  <si>
    <t>Service Switchgear, 200 Amps, Light Commercial</t>
  </si>
  <si>
    <t>Circuit Breaker, 240-480 Volts, 125-250 Amps</t>
  </si>
  <si>
    <t>Berm, 522 M x 2 M x 5 M = 6,828 CY; backfill &amp; compaction</t>
  </si>
  <si>
    <t>Rigid Conduit and Wiring, 1", includes tees, ells, junction boxes, hangars and fittings</t>
  </si>
  <si>
    <t>Bank run gravel, Spread, 1,044 CY per berm</t>
  </si>
  <si>
    <t>Trolleyway, 1 Ton, 50 FT / MIT</t>
  </si>
  <si>
    <t>Trolley, Motorized, 0.5 ton, 1 per MIT</t>
  </si>
  <si>
    <t>Record Fire Range</t>
  </si>
  <si>
    <t>TC 25-8 Standard Size / Automated Record Fire Range</t>
  </si>
  <si>
    <t>Utility tunnel, 3"-5" wall thickness, reinforced concrete, medium soil, 5'x7' cross-section, 504 LF</t>
  </si>
  <si>
    <t>Road, Plant Mix Asphalt Concrete surface, 3" thick, 1,500 SY</t>
  </si>
  <si>
    <t>SIT Emplacement (62 SF concrete x 8" thick with Rebar), 7 per FP</t>
  </si>
  <si>
    <t>8" Thick Reinforced Concrete Pavement,  4,500 PSI, 12' pass</t>
  </si>
  <si>
    <t>Berm, 522 M x 2 M x 5 M = 6,828 CY / Backfill &amp; compaction</t>
  </si>
  <si>
    <t>Fine Grading for Roadways, Base or Levelling Course, Large Areaas &gt; 6,000 SY;  11,525 SY</t>
  </si>
  <si>
    <t>Bank run gravel, Spread, 409 CY per berm</t>
  </si>
  <si>
    <t>Underground Wiring, 2", plastic duct, 574 FT Average Distance, plus excavation and backfill</t>
  </si>
  <si>
    <t>10" Thick Reinforced Concrete Pavement, 4,500 PSI,  12' pass</t>
  </si>
  <si>
    <t>Berm, 340 M x 2M x 5 M = 4,447 CY; backfill &amp; compaction</t>
  </si>
  <si>
    <t>Bank run gravel, Spread, 445 CY per berm</t>
  </si>
  <si>
    <t>Night Fire Range</t>
  </si>
  <si>
    <t>SIT Emplacement (62 sf concrete x 8" thick w/Rebar); 2 per FP</t>
  </si>
  <si>
    <t>Underground Wiring, 2", plastic duct, 164 FT average distance, plus excavation and backfill</t>
  </si>
  <si>
    <t>Berm, 522 M x 2 M x 3 M = 4,096 CY; backfill &amp; compaction</t>
  </si>
  <si>
    <t>Known Distance Range</t>
  </si>
  <si>
    <t>TC 25-8 Standard Size / Known Distance Range</t>
  </si>
  <si>
    <t>Rigid Conduit and Wiring, 1",  525 FT average distance</t>
  </si>
  <si>
    <t>Berm, 340 M x 4 M x 5 M = 8,894 CY; backfill &amp; compaction</t>
  </si>
  <si>
    <t>Sniper Range</t>
  </si>
  <si>
    <t>TC 25-8 Standard Size / Automated Sniper Field Fire Range</t>
  </si>
  <si>
    <t>Sniper range = 4 SITs/6MITs/8 Iron Maiden Pads per FP</t>
  </si>
  <si>
    <t>SIT Emplacement (62 SF concrete x 8" thick with Rebar), 4 per FP</t>
  </si>
  <si>
    <t xml:space="preserve">MIT Emplacement 15 M (15 M x . 5M =7 .5 SM) 12" concrete wall </t>
  </si>
  <si>
    <t>Trolley, Motorized, 0.5 Ton, 1 per MIT</t>
  </si>
  <si>
    <t>Outlet, Rigid Conduit, Average, with Ground Fault Interrupter (4 per MIT, SIT)</t>
  </si>
  <si>
    <t>Underground Wiring, 2", plastic duct, 1,640 FT average distance, plus excavation and backfill</t>
  </si>
  <si>
    <t>Concrete Pad 4 FT x 8 FT (1 per Firing Pad / 1 per Iron Maiden Pad)</t>
  </si>
  <si>
    <t>Berm, 80 M x 2 M x 5 M = 1,046 CY; backfill &amp; compaction</t>
  </si>
  <si>
    <t>Pistol Range</t>
  </si>
  <si>
    <t>TC 25-8 Standard Size / Automated Combat Pistol Range</t>
  </si>
  <si>
    <t>SIT Emplacement (62 SF concrete x 8" thick with Rebar), 8 per FP</t>
  </si>
  <si>
    <t>Underground Wiring, 2", plastic duct, 101 FT Average Distance, plus excavation and backfill</t>
  </si>
  <si>
    <t>Bank run gravel, Spread, 445 CY per range</t>
  </si>
  <si>
    <t>Berm, 8  EA per FP, 1 M x 1 M x 2 M = 20.9 CY; backfill &amp; compaction</t>
  </si>
  <si>
    <t>Machinegun Range</t>
  </si>
  <si>
    <t>TC 25-8 Standard Size / Automated Multipurpose Machinegun</t>
  </si>
  <si>
    <t>MPMG = 3 SITs/5 WSITs/2MITs/2 SATs/8 Iron Maiden Pads per FP</t>
  </si>
  <si>
    <t>SIT Emplacement (62 SF concrete x 8" thick with Rebar), 3 per FP</t>
  </si>
  <si>
    <t>WSIT Emplacement (94 SF concrete x 8" thick with Rebar),  5 per FP</t>
  </si>
  <si>
    <t>SAT Emplacement (468 SF concrete x 12" thick with Rebar), 2 per FP</t>
  </si>
  <si>
    <t xml:space="preserve">MIT Emplacement 15M (15 M x 0.5 M = 7.5 SM), 12" concrete wall </t>
  </si>
  <si>
    <t>Circuit Breaker, 240-480 Volts, 125 - 250 Amps</t>
  </si>
  <si>
    <t>Outlet, Rigid Conduit, Average, with Ground Fault Interrupter (5 per SAT; 4 per MIT, SIT; 6 per WSIT))</t>
  </si>
  <si>
    <t>Underground Wiring, 2", plastic duct, 1,640 FT Average Distance, plus excavation and backfill</t>
  </si>
  <si>
    <t>Berm, 30 M x 2 M x 5 M = 392 CY; backfill &amp; compaction</t>
  </si>
  <si>
    <t>Bank run gravel, Spread, 39 CY per range</t>
  </si>
  <si>
    <t>General Purpose Direct Fire Range</t>
  </si>
  <si>
    <t>Vehicle Battle Position - Defilade (481 SF concrete x 10" thick with Rebar), Unit Cost divided by 9 for SF</t>
  </si>
  <si>
    <t>Berm, 148 M x 2M x 5 M = 1,936 CY; backfill &amp; compaction</t>
  </si>
  <si>
    <t>Bank run gravel, Spread, 327 CY per range</t>
  </si>
  <si>
    <t>Grenade Launcher Range</t>
  </si>
  <si>
    <t>TC 25-8 Standard Size / Grenade Launcher Range</t>
  </si>
  <si>
    <t>Target Berm, 1 M x 1 M x 2 M x 4 targets/lane = 2.6 CY; Backfill &amp; compaction</t>
  </si>
  <si>
    <t>Berm, 40 M x 1 M x 2 M = 104 CY; backfill &amp; compaction</t>
  </si>
  <si>
    <t>Bank run gravel, Spread, 104 CY per berm</t>
  </si>
  <si>
    <t>Grenade Machinegun Range</t>
  </si>
  <si>
    <t>Vehicle Firing Point (128 SF concrete x 8" thick with Rebar), Price per SY in PAX divided by 9 for SF</t>
  </si>
  <si>
    <t>SF per LN</t>
  </si>
  <si>
    <t>Berm, 20 M x 2 M x 1 M = 52 CY; backfill &amp; compaction</t>
  </si>
  <si>
    <t>CY per LN</t>
  </si>
  <si>
    <t>Bank run gravel, Spread, 20 CY per LN</t>
  </si>
  <si>
    <t xml:space="preserve">FAC 1762 design criteria is found in Army Field Manual (FM) 3-22.27, 40 mm Grenade Machinegun, and TC 25-8, identified in the latter as Category Code 17833, Automated Multipurpose Machine Gun (MPMG) Range.  </t>
  </si>
  <si>
    <t xml:space="preserve">• Selection as found in the U.S. Army Corps of Engineers (USACE) Programming Administration and Execution (PAX) System newsletter
• See “Range Business Rules” for type of materials
</t>
  </si>
  <si>
    <t xml:space="preserve">• The unit of measure is LN, lane.  
• Size is per design found in TC 25-8.  The design calls for a standard 2 LNs per range.  Although the average of the records is 3.2, there can be no ‘fractional’ lanes. 
• There are 73 FAC 1762 records, ranging in size from 1 to 13 lanes (LN).  </t>
  </si>
  <si>
    <t xml:space="preserve">The USACE Engineering and Support Center, Huntsville (HNC) Range and Training Land Program (RTLP) “Program Information” section states “fire detection and protection are not typically required in Standard Range Facilities by either NFPA 101, Life Safety Code; or Unified Facilities Criteria (UFC) 3-600-01, Design: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</si>
  <si>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</si>
  <si>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</si>
  <si>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 specific design required.</t>
  </si>
  <si>
    <t xml:space="preserve">Documentation for business rules reflecting DoD established practices for components or materials  </t>
  </si>
  <si>
    <t>• M&amp;S Selection Business Rule
• MILCON Cost Premium Business Rule
• Range Business Rules</t>
  </si>
  <si>
    <t xml:space="preserve">Army FM 3-22.27 MK 19, 40-mm Grenade Machine Gun MOD 3, 28 November 2003, Change 1, 14 September 2006, pp. 4-21 - 4-22.
USACE HNC RTLP, Program Information, Fire Detection and Protection, page 1/1, 23 May 2005.
USACE PAX newsletter 3.2.2, Army Facilities Pricing Guide, 30 May 2018                                                                                                                                                                                                       U.S. Army TC 25-8, "Training Ranges," 22 July 2016  </t>
  </si>
  <si>
    <t>Light Antiarmor Weapon Range (LAWR)</t>
  </si>
  <si>
    <t>TC 25-8 Standard Size / Light Antiarmor Range, Subcal</t>
  </si>
  <si>
    <t>LAWR/AT-4 = 2 MG Bunkers/ 9 SATs / 2 MATs per FP</t>
  </si>
  <si>
    <t>Stationary Armor Target (SAT) Emplacement (468 SF concrete x 12" thick w/Rebar) 9 per FP</t>
  </si>
  <si>
    <t>MAT Emplacement 200M (200 M x 1 M= 2153 SF), 12" concrete wall, 2 per FP</t>
  </si>
  <si>
    <t>Trolleyway, 1 Ton, 656 FT / MAT</t>
  </si>
  <si>
    <t>Trolley, Motorized, 0.5 ton, 1 per MAT</t>
  </si>
  <si>
    <t>Outlet, Rigid Conduit, Average, with Ground Fault Interrupter (5 per SAT; 4 per MAT)</t>
  </si>
  <si>
    <t>Underground Wiring, 2", plastic duct, 984 FT Average Distance</t>
  </si>
  <si>
    <t>Concrete Bunker 4 FT x4 FT = 96 SF of 12" concrete, 2 EA</t>
  </si>
  <si>
    <t>Berm, 400 M x 1 M x 1 M = 523 CY; Backfill &amp; compaction</t>
  </si>
  <si>
    <t>Heavy Antiarmor Weapon Range (HAWR)</t>
  </si>
  <si>
    <t>TC 25-8 Standard Size / Antiarmor Tracking and Live Fire (ATLF)</t>
  </si>
  <si>
    <t>HAWR = 12 SATs / 5 MATs / 1 Course Road per LN</t>
  </si>
  <si>
    <t>SAT Emplacement (468 SF concrete x 12" thick With Rebar), 12 per LN</t>
  </si>
  <si>
    <t xml:space="preserve">MAT Emplacement 350M (350 M x 1 M= 3,767 SF) 12" concrete wall </t>
  </si>
  <si>
    <t>EA per LN</t>
  </si>
  <si>
    <t>Trolleyway, 1 Ton, 1,148 FT / MAT</t>
  </si>
  <si>
    <t>LF per LN</t>
  </si>
  <si>
    <t>Underground Wiring, 2", plastic duct, 6,761 FT Average Distance, plus excavation and backfill</t>
  </si>
  <si>
    <t>Trail Grading, Fine Grading for Roadways, Base Course 11,525 SY</t>
  </si>
  <si>
    <t>SY per LN</t>
  </si>
  <si>
    <t>Vehicle Battle Position 6 EA; Defilade (481 SF concrete x 12" thick with Rebar)</t>
  </si>
  <si>
    <t>Berm, 1800 M x 2 M x 1 M = 4,709 CY; backfill &amp; compaction</t>
  </si>
  <si>
    <t>Bank run gravel, Spread, 1,063 CY per LN</t>
  </si>
  <si>
    <t>Artillery Direct Fire Range (ADFR)</t>
  </si>
  <si>
    <t>ADFR = 18 SATs / 6 Firing Positions per Range</t>
  </si>
  <si>
    <t>SAT Emplacement (468 SF concrete x 12" thick with Rebar); 6 per range</t>
  </si>
  <si>
    <t>SF per Range</t>
  </si>
  <si>
    <t>EA per Range</t>
  </si>
  <si>
    <t>Outlet, Rigid Conduit, Average, with Ground Fault Interrupter (5 per SAT)</t>
  </si>
  <si>
    <t>Underground Wiring, 2" plastic duct, 2,560 FT Average Distance, plus excavation and backfill</t>
  </si>
  <si>
    <t>LF per Range</t>
  </si>
  <si>
    <t>SY per Range</t>
  </si>
  <si>
    <t>Vehicle Battle Position 6 EA - Defilade (481 SF concrete x 12" thick with Rebar)</t>
  </si>
  <si>
    <t>Berm, 117 M x 2 M x 1 M = 279 CY; backfill &amp; compaction</t>
  </si>
  <si>
    <t>CY per Range</t>
  </si>
  <si>
    <t>Bank run gravel, Spread, 215 CY per range</t>
  </si>
  <si>
    <t>Tank Stationary Gunnery Range (TSGR)</t>
  </si>
  <si>
    <t>TC 25-8 Standard Size / Tank Stationary Gunnery Range</t>
  </si>
  <si>
    <t>TSGR = 25 SATs / 4 MATs / 42 SITS / 7 MITS per Range</t>
  </si>
  <si>
    <t>SIT Emplacement (62 SF concrete x 8" thick w/Rebar); 42 per range</t>
  </si>
  <si>
    <t>SAT Emplacement (468 SF concrete x 12" thick w/Rebar), 25 per range</t>
  </si>
  <si>
    <t xml:space="preserve">MAT Emplacement 200 M (200 M x 1 M= 2,152 SF), 12" concrete wall </t>
  </si>
  <si>
    <t xml:space="preserve">MIT Emplacement 15 M (15 Mx 0.5 M = 80.7 SF), 12" concrete wall </t>
  </si>
  <si>
    <t>Trolleyway, 1 Ton, 656 FT / MAT;  49 FT / MIT</t>
  </si>
  <si>
    <t>Trolley, Motorized, 0.5 ton, 1 per MAT / MIT</t>
  </si>
  <si>
    <t>Outlet, Rigid Conduit, Average, with Ground Fault Interrupter (5 per SAT; 4 per MAT, MIT, SIT)</t>
  </si>
  <si>
    <t>Underground Wiring, 2", plastic duct, 5,105 FT Average Distance, plus excavation and backfill</t>
  </si>
  <si>
    <t>Trail Grading, Fine Grading for Roadways, Base Course 2,488 SY</t>
  </si>
  <si>
    <t>Vehicle Battle Position 2 EA - Defilade (481 SF concrete x 12" thick with Rebar)</t>
  </si>
  <si>
    <t>Vehicle Firing Point, 10 EA (128 SF concrete x 8" thick with Rebar)</t>
  </si>
  <si>
    <t>Berm, 1,400 M x 2 M x 1 M = 3,662 CY; backfill &amp; compaction</t>
  </si>
  <si>
    <t>Bank run gravel, Spread, 1,063 CY per range</t>
  </si>
  <si>
    <t>Scaled Indirect Fire Range</t>
  </si>
  <si>
    <t>Artillery Direct Firing Range (ADFR) = 6 Hasty Firing Positions per Range</t>
  </si>
  <si>
    <t>Scaled Gunnery Range (SGR)</t>
  </si>
  <si>
    <t>TC 25-8 Standard Size Tank/Fighting Vehicle Scaled Gunnery Range</t>
  </si>
  <si>
    <t>SGR =  16 SITS / 8 MITS per Range</t>
  </si>
  <si>
    <t>SIT Emplacement (62 SF concrete x 8" thick with Rebar), 16 per range</t>
  </si>
  <si>
    <t xml:space="preserve">MIT Emplacement 15 M (15 M x 0.5 M = 80.7 SF), 12" concrete wall </t>
  </si>
  <si>
    <t>Trolleyway, 1 Ton,  49 FT / MIT</t>
  </si>
  <si>
    <t>Underground Wiring, 2", plastic duct, 356 FT Average Distance, plus excavation and backfill</t>
  </si>
  <si>
    <t>Trail Grading, Fine Grading for Roadways, Base Course 478 SY</t>
  </si>
  <si>
    <t>Vehicle Battle Position, 2 EA - Defilade (481 SF concrete x 12" thick with rebar)</t>
  </si>
  <si>
    <t>Vehicle Firing Point, 2 EA (128 SF concrete x 8" thick with rebar)</t>
  </si>
  <si>
    <t>Berm, 220 M x 2 M x 1 M = 575 CY, backfill &amp; compaction</t>
  </si>
  <si>
    <t>Bank run gravel, Spread, 156 CY per Range</t>
  </si>
  <si>
    <t>Armor Vehicle Crew Training Range</t>
  </si>
  <si>
    <t xml:space="preserve">TC 25-8 Standard Size / Digital Multipurpose Training Range (DPMTR) </t>
  </si>
  <si>
    <t xml:space="preserve">DMPTR= 30 SATs / 6 MATs / 146 SITs / 4 MITs </t>
  </si>
  <si>
    <t xml:space="preserve">SIT Emplacement (62 SF concrete x 8" thick w/Rebar) 146 per LN </t>
  </si>
  <si>
    <t>SAT Emplacement (468 SF concrete x 12" thick w/Rebar) 30 per LN</t>
  </si>
  <si>
    <r>
      <t>MAT Emplacement 200 M</t>
    </r>
    <r>
      <rPr>
        <vertAlign val="superscript"/>
        <sz val="11"/>
        <rFont val="Calibri"/>
        <family val="2"/>
        <scheme val="minor"/>
      </rPr>
      <t>2</t>
    </r>
    <r>
      <rPr>
        <sz val="11"/>
        <rFont val="Calibri"/>
        <family val="2"/>
        <scheme val="minor"/>
      </rPr>
      <t xml:space="preserve"> (200 M x 1 M= 2,152 SF) 12" concrete wall </t>
    </r>
  </si>
  <si>
    <r>
      <t>MIT Emplacement 7.5 M</t>
    </r>
    <r>
      <rPr>
        <vertAlign val="superscript"/>
        <sz val="11"/>
        <rFont val="Calibri"/>
        <family val="2"/>
        <scheme val="minor"/>
      </rPr>
      <t>2</t>
    </r>
    <r>
      <rPr>
        <sz val="11"/>
        <rFont val="Calibri"/>
        <family val="2"/>
        <scheme val="minor"/>
      </rPr>
      <t xml:space="preserve"> (15 M x 0.5 M = 80.7 SF) 12" concrete wall </t>
    </r>
  </si>
  <si>
    <t>Trolleyway, 1 Ton, 656 FT / MAT,  49 FT /MIT</t>
  </si>
  <si>
    <t>Trail Grading, Fine Grading for Roadways, Base Course 2488 SY</t>
  </si>
  <si>
    <t>Vehicle Battle Position 8 EA - Defilade (481 SF concrete x 12" thick with Rebar)</t>
  </si>
  <si>
    <t>Total Berm, 2,184 M x 2 M x 1 M = 5,713 CY, backfill &amp; compaction</t>
  </si>
  <si>
    <t>Target Bunker (Catch Basin, 4 FT deep) x 2</t>
  </si>
  <si>
    <t>Bank run gravel, Spread, 7,850 CY per Range</t>
  </si>
  <si>
    <t>Urban Cluster / Bank Barn, 2 Story (20 FT x 20 FT), Class D, Low Cost, 7 EA Buildings (use Class C multiplier)</t>
  </si>
  <si>
    <t>Armor Vehicle Unit Training Range</t>
  </si>
  <si>
    <t xml:space="preserve">TC 25-8 Standard Size / Digital Multipurpose Training Complex (DMPRC) </t>
  </si>
  <si>
    <t xml:space="preserve">DMPRC= 80 SATs / 12 MATs / 294 SITs / 45 MITs </t>
  </si>
  <si>
    <t>SIT Emplacement (62 SF concrete x 8" thick with Rebar) 294 per range</t>
  </si>
  <si>
    <t>SAT Emplacement (468 SF concrete x 12" thick with Rebar) 80 per Range</t>
  </si>
  <si>
    <t xml:space="preserve">MAT Emplacement 200 M (200 M x 1 M = 2,152 SF) 12" concrete wall, 12 per Range </t>
  </si>
  <si>
    <t>MIT Emplacement 15 M (15 M x 0.5 M = 80.7 SF) 12" concrete wall, 45 per Range</t>
  </si>
  <si>
    <t>Trolleyway, 1 Ton, 656 FT / MAT, 49 FT / MIT</t>
  </si>
  <si>
    <t>Underground Wiring, 2", plastic duct, 6.5 lanes of targetry, plus excavation and backfill</t>
  </si>
  <si>
    <t>Trail Grading, Fine Grading for Roadways, Base Course 7464 SY</t>
  </si>
  <si>
    <t>Vehicle Battle Position 30 EA - Defilade (481 SF concrete x 12" thick with Rebar)</t>
  </si>
  <si>
    <t>Total Berm, 6,552 M x 2 M x 1 M = 17,139 CY, Backfill &amp; compaction</t>
  </si>
  <si>
    <t>Machine gun bunker (144 SF concrete x 8" with rebar,) 4 per Range</t>
  </si>
  <si>
    <t>Bank run gravel, Spread, 44,650 CY per Range</t>
  </si>
  <si>
    <t>Urban Cluster / Bank Barn, 2 Story (20 FT x 20 FT), Class D, Low Cost, 12 EA Buildings (Use Class C multiplier)</t>
  </si>
  <si>
    <r>
      <t>FAC 1772 design criteria is found in U.S. Army Technical Circular (TC) TC 25-8.    
Area:  20,000,000 M</t>
    </r>
    <r>
      <rPr>
        <vertAlign val="superscript"/>
        <sz val="11"/>
        <rFont val="Calibri"/>
        <family val="2"/>
        <scheme val="minor"/>
      </rPr>
      <t xml:space="preserve">2 </t>
    </r>
    <r>
      <rPr>
        <sz val="11"/>
        <rFont val="Calibri"/>
        <family val="2"/>
        <scheme val="minor"/>
      </rPr>
      <t>/ 4,942 AC.</t>
    </r>
    <r>
      <rPr>
        <vertAlign val="superscript"/>
        <sz val="11"/>
        <rFont val="Calibri"/>
        <family val="2"/>
        <scheme val="minor"/>
      </rPr>
      <t xml:space="preserve">.  </t>
    </r>
    <r>
      <rPr>
        <sz val="11"/>
        <rFont val="Calibri"/>
        <family val="2"/>
        <scheme val="minor"/>
      </rPr>
      <t>Range Dimensions 2,500 M X 8,000 M (TC 25-8, Figure H-10.2).  1 Acre = 4,047 M</t>
    </r>
    <r>
      <rPr>
        <vertAlign val="superscript"/>
        <sz val="11"/>
        <rFont val="Calibri"/>
        <family val="2"/>
        <scheme val="minor"/>
      </rPr>
      <t>2</t>
    </r>
    <r>
      <rPr>
        <sz val="11"/>
        <rFont val="Calibri"/>
        <family val="2"/>
        <scheme val="minor"/>
      </rPr>
      <t xml:space="preserve">.
There are 52 FAC 1772 records, with an average size of 2 each.  
This FAC aggregates multiple (1 AF, 7 Army and 3 Navy/Marine Corps) category codes.  Category code 17860 was chosen from TC 25-8, Table 2-2, as a conservative representative design/cost estimate.  
</t>
    </r>
  </si>
  <si>
    <t xml:space="preserve">• Selection as found in PAX newsletter
• See “Range Business Rules” and “Marshall and Swift Selection Business Rules” for type of materials
</t>
  </si>
  <si>
    <t xml:space="preserve">• The unit of measure is EA, each.  
• Size is per design found in US Army TC 25-8. 
</t>
  </si>
  <si>
    <t xml:space="preserve">The USACE Engineering and Support Center, Huntsville (HNC) Range and Training Land Program (RTLP) “program Information” section states “fire detection and protection are not typically required in Standard Range Facilities by either the National Fire Protection Association (NFPA) 101, Life Safety Code; or Unified Facilities Criteria (UFC) 3-600-01, Design: Fire Protection Engineering for Facilities … .”   </t>
  </si>
  <si>
    <t xml:space="preserve">The USACE HNC RTLP, Program Information, Fire Detection and Protection, page 1/1, 23 May 2005.
The USACE HNC RTLP, Program Information.                                                                                                                                                                                                                                                     U.S. Army TC 25-8, "Training Ranges," 22 July 2016  
</t>
  </si>
  <si>
    <t>Fire and Movement Range (FMR)</t>
  </si>
  <si>
    <t>TC 25-8 Standard Size / Fire and Movement Range (FMR)</t>
  </si>
  <si>
    <t>FMR= 6 SITs / LN; 4 lanes per FMR</t>
  </si>
  <si>
    <t>SIT Emplacement (62 SF concrete x 8" thick with Rebar) 6 per LN</t>
  </si>
  <si>
    <t>Outlet, Rigid Conduit, Average, with Ground Fault Interrupter (4 per SIT)</t>
  </si>
  <si>
    <t>Underground Wiring, 2", plastic duct, 346 FT Average Distance, plus excavation and backfill</t>
  </si>
  <si>
    <t>Berm, 150 M x 3M x 4M = 2,354 CY / Backfill &amp; compaction, 2 EA Berms / LN</t>
  </si>
  <si>
    <t>Bank run gravel, Spread, 39 CY per lane</t>
  </si>
  <si>
    <t>Squad Defense Range (SDR)</t>
  </si>
  <si>
    <t xml:space="preserve">TC 25-8 Standard Size / Squad Defense Range (SDR) </t>
  </si>
  <si>
    <t xml:space="preserve">SDR= 31 SITs  </t>
  </si>
  <si>
    <t>SIT Emplacement (62 sf concrete x 8" thick w/Rebar), 31 per range</t>
  </si>
  <si>
    <t>2-person fighting position (104 SF concrete x 8" with rebar), 5 per range</t>
  </si>
  <si>
    <t>Berm, 300 M x 2 M x 1 M = 785 CY / Backfill &amp; compaction</t>
  </si>
  <si>
    <t>Bank run gravel, Spread, 353 CY per berm</t>
  </si>
  <si>
    <t>Infantry Battle Course</t>
  </si>
  <si>
    <t>TC 25-8 Standard Size / Infantry Squad Battle Course (ISBC)</t>
  </si>
  <si>
    <t xml:space="preserve">ISBC= 6 SATs / 1 MATs / 20 SITs / 6 MITs </t>
  </si>
  <si>
    <t>SIT Emplacement (62 SF concrete x 8" thick with Rebar) 20 per range</t>
  </si>
  <si>
    <t>SAT Emplacement (468 SF concrete x 12" thick with Rebar) 6 per Range</t>
  </si>
  <si>
    <t xml:space="preserve">MAT Emplacement 200M (200 M x 1 M = 2,152 SF) 12" concrete wall </t>
  </si>
  <si>
    <t xml:space="preserve">MIT Emplacement 15M (15 M x 0.5 M = 80.7 SF 12" concrete wall </t>
  </si>
  <si>
    <t>Trolleyway, 1 Ton, 656 ft / MAT  49 LF /MIT</t>
  </si>
  <si>
    <t>Trail Grading, Fine Grading for Roadways, Base Course 2,392 SY</t>
  </si>
  <si>
    <t>Bank run gravel, Spread, 9,225 CY per Range</t>
  </si>
  <si>
    <t>Machine gun bunker (144 SF concrete x 8" with rebar), 5 per range</t>
  </si>
  <si>
    <t>Urban Combat Training Range</t>
  </si>
  <si>
    <t>TC 25-8 Standard Size / Urban Assault Course (UAC)</t>
  </si>
  <si>
    <t>SIT Emplacement (62 SF concrete x 8" thick, with Rebar), 26 per range</t>
  </si>
  <si>
    <t>Underground Wiring, 2", plastic duct, 8,150 LF, plus excavation and backfill</t>
  </si>
  <si>
    <t>8" Thick Reinforced Concrete Roadway, 897 SY per Range</t>
  </si>
  <si>
    <t xml:space="preserve">Road, Asphalt, 3" thick </t>
  </si>
  <si>
    <t>Shoothouse, Reinforced concrete (Armory, CDS) 12 EA, 600 SF</t>
  </si>
  <si>
    <t>Total Berm, 500 M x 2 M x 3 M = 3923 CY / Backfill &amp; compaction</t>
  </si>
  <si>
    <t>Machine gun bunker (144 SF concrete x 8" with rebar), 4 per Range</t>
  </si>
  <si>
    <t>Bank run gravel, Spread, 4622 cubic yards per UAC</t>
  </si>
  <si>
    <t>Urban Cluster / Bank Barn, 2 Story (20' x 20') , Class D, Low Cost,  3 EA  Buildings (Use Class C Multiplier)</t>
  </si>
  <si>
    <t xml:space="preserve">Convoy Live Fire Range (CLFR) </t>
  </si>
  <si>
    <t>TC 25-8 Standard Size / Convoy Live Fire Range</t>
  </si>
  <si>
    <t xml:space="preserve">FP for CLFR= 2 SATs / 2 MATs / 9 SITs / 1 MITs </t>
  </si>
  <si>
    <t>SIT Emplacement (62 SF concrete x 8" thick with Rebar),  9 per FP</t>
  </si>
  <si>
    <t xml:space="preserve">MAT Emplacement 200 M (200 M x 1 M = 2,152 SF), 12" concrete wall </t>
  </si>
  <si>
    <t>Trolleyway, 1 Ton, 656 LF / MAT,  49 LF / MIT</t>
  </si>
  <si>
    <t>Trail Grading, Fine Grading for Roadways, Base Course 1435 SY</t>
  </si>
  <si>
    <t>SY per FP</t>
  </si>
  <si>
    <t>Total Berm, 6,552 M x 2M x 1 M = 17,139 CY / Backfill &amp; compaction</t>
  </si>
  <si>
    <t>Bank run gravel, Spread, 431 CY per Range</t>
  </si>
  <si>
    <t>Urban Cluster / Bank Barn, 2 Story (20' x 20'), Class D Low Cost x 2 EA Buildings (Use Class C cost multiplier)</t>
  </si>
  <si>
    <t>Live Hand Grenade Range</t>
  </si>
  <si>
    <t>TC 25-8 Standard Size / Live Hand Grenade Familiarization Range</t>
  </si>
  <si>
    <t>Bank run gravel, Spread, 205 CY per FP</t>
  </si>
  <si>
    <t>Throwing Bay (160 SF concrete x 8" with Rebar)</t>
  </si>
  <si>
    <t xml:space="preserve">Blast Wall 50M (50 M x 3 M= 1,614 SF), 12" concrete wall </t>
  </si>
  <si>
    <t>Total Berm, 60 M x 3 M x 1 M = 235 CY yds / Backfill &amp; compaction</t>
  </si>
  <si>
    <t>Engineer Qualification Range (EQR)</t>
  </si>
  <si>
    <t>RPCS Standard Size</t>
  </si>
  <si>
    <t xml:space="preserve">FP for EQR= 2 SATs / 9 SITs </t>
  </si>
  <si>
    <t>SIT Emplacement (62 SF concrete x 8" thick with Rebar), 9 per FP</t>
  </si>
  <si>
    <t>SAT Emplacement (468 SF concrete x 12" thick with Rebar), 2 Per FP</t>
  </si>
  <si>
    <t>Urban Cluster / Bank Barn, 2 Story (20' x 20'), Class D, Low Cost x 2 Buildings (Use Class C multiplier)</t>
  </si>
  <si>
    <t>Machine gun bunker (144 SF concrete x 8" with rebar), 4 per FP</t>
  </si>
  <si>
    <r>
      <t>Blast Wall 100 M</t>
    </r>
    <r>
      <rPr>
        <vertAlign val="superscript"/>
        <sz val="11"/>
        <rFont val="Calibri"/>
        <family val="2"/>
        <scheme val="minor"/>
      </rPr>
      <t>2</t>
    </r>
    <r>
      <rPr>
        <sz val="11"/>
        <rFont val="Calibri"/>
        <family val="2"/>
        <scheme val="minor"/>
      </rPr>
      <t xml:space="preserve"> (50 M x 2 M x 2 EA = 2152.8 SF), 12" concrete wall </t>
    </r>
  </si>
  <si>
    <t>Light Demolition and Flame Training Range</t>
  </si>
  <si>
    <t>TC 25-8 Standard Size / Light Demolition Range</t>
  </si>
  <si>
    <t>Missile Proof Shelter (2,896 SF concrete x 8" with rebar)</t>
  </si>
  <si>
    <t xml:space="preserve">Blast Wall 50 M (100 M x 3 M = 3,229 SF), 12" concrete wall </t>
  </si>
  <si>
    <t xml:space="preserve">Steel / Timber Cutting Chamber x 2 EA (40 LF x 40 LF x 5 LF), 12" concrete  </t>
  </si>
  <si>
    <t>Total Berm, 260 M x 3 M x 2 M  / Backfill &amp; compaction</t>
  </si>
  <si>
    <t>Miscellaneous Training Facility</t>
  </si>
  <si>
    <t>Miscellaneous Training Facility = 6 SITs and 2 SATs</t>
  </si>
  <si>
    <t>SIT Emplacement (62 SF concrete x 8" thick with Rebar), 6 per range</t>
  </si>
  <si>
    <t>SAT Emplacement (468 SF concrete x 12" thick, with Rebar), 2 per Range</t>
  </si>
  <si>
    <t>Outlet, Rigid Conduit, Average, with Ground Fault Interrupter (5 per SAT; 4 per SIT)</t>
  </si>
  <si>
    <t>Trail Grading, Fine Grading for Roadways, Base Course 1,913 SY</t>
  </si>
  <si>
    <t>Total Berm, 400 M x 2 M x 1 M = 1,046 CY, Backfill &amp; compaction</t>
  </si>
  <si>
    <t>Bank run gravel, Spread, 628 CY per Range</t>
  </si>
  <si>
    <t>Machine gun bunker (144 SF concrete x 8" with rebar), 2 per Range</t>
  </si>
  <si>
    <t>FAC 1790 is a collection of 74 CATCODEs.  Components for this model represent an average of these facilities.</t>
  </si>
  <si>
    <t>Aircraft Weapons Calibration Range</t>
  </si>
  <si>
    <t>TC 25-8 Standard Size / Boresight, Screening and Harmonization Range (BSHR)</t>
  </si>
  <si>
    <t xml:space="preserve">BSHR = 8 SATs / 8 SITs </t>
  </si>
  <si>
    <t>SIT Emplacement (62 SF concrete x 8" thick with Rebar,  8 per range</t>
  </si>
  <si>
    <t>SAT Emplacement (468 SF concrete x 12" thick with Rebar) 8 per Range</t>
  </si>
  <si>
    <t>Trail Grading, Fine Grading for Roadways, Base Course 1913 SY</t>
  </si>
  <si>
    <t xml:space="preserve">Concrete Pad, 40 FT x 40 FT,  8" reinforced </t>
  </si>
  <si>
    <t>Attack Helicopter Weapons Range</t>
  </si>
  <si>
    <t>TC 25-8 Standard Size / Aerial Gunnery Range  (AGR)</t>
  </si>
  <si>
    <t xml:space="preserve">AGR = 50 SATs / 8 MATs / 246 SITs / 35 MITs </t>
  </si>
  <si>
    <t>SIT Emplacement (62 SF concrete x 8" thick with Rebar), 246 per range</t>
  </si>
  <si>
    <t>Service Switchgear, 100 Amps, Light Commercial (SITs)</t>
  </si>
  <si>
    <t>Circuit Breaker, 240-480 Volts, 20-60 Amps (SITs)</t>
  </si>
  <si>
    <t>SAT Emplacement (468 SF concrete x 12" thick w/Rebar) 50 per range</t>
  </si>
  <si>
    <t>Service Switchgear, 200 Amps, Light Commercial (SATs, MATs, &amp; MITs)</t>
  </si>
  <si>
    <t>Trolleyway, 1 Ton, 656 LF / MAT  49 FT /MIT</t>
  </si>
  <si>
    <t>Trail Grading, Fine Grading for Roadways, Base Course 10,525 SY</t>
  </si>
  <si>
    <t>Total Berm, 2540 M x 2 M x 1 M = 6644 CY; Backfill &amp; compaction</t>
  </si>
  <si>
    <t>Bank run gravel, Spread, 1569 CY per Range</t>
  </si>
  <si>
    <t>Urban Cluster / Bank Barn, 2 Story (20' x 20'), Class D, Low Cost x 13 Buildings (Use Class C multiplier)</t>
  </si>
  <si>
    <t>Air Defense Range</t>
  </si>
  <si>
    <t>TC 25-8 Standard Size / Air Defense Firing Range</t>
  </si>
  <si>
    <t>Vehicle Battle Position - Defilade (481 SF concrete x 12" thick with Rebar)</t>
  </si>
  <si>
    <t>Berm, 90 M x 2 M x 3 M = 706 CY, Backfill &amp; compaction</t>
  </si>
  <si>
    <t>Fire And Rescue Training Facility</t>
  </si>
  <si>
    <t>15/29</t>
  </si>
  <si>
    <t>Fire Training Tower</t>
  </si>
  <si>
    <t>CF to EA</t>
  </si>
  <si>
    <t xml:space="preserve">66/11 </t>
  </si>
  <si>
    <t>Polyethylene chamber water detention system, complete, 5,000 GA</t>
  </si>
  <si>
    <t>GA to EA</t>
  </si>
  <si>
    <t>Stormwater drainage pond, 1/8 AC</t>
  </si>
  <si>
    <t xml:space="preserve">Unified Facilities Criteria (UFC) UFC 4-179-01, "Design Navy Firefighting Schools;" and, National Fire Protection Association (NFPA) 1402, "Guide to Building Fire Service Training Centers," provide general guidance for Fire and Rescue Training Facilities. </t>
  </si>
  <si>
    <t xml:space="preserve">Neither NFPA 1402 nor UFC 4-179-01 limit the choice of materials, masonry (brick, cast-in-place, tilt-up concrete) with steel structural members are described.  </t>
  </si>
  <si>
    <t xml:space="preserve">The average size for this FAC is 1 EA (each).  NFPA 1402 recommends a minimum facility size of 20 FT x 20 Fft with 4 stories of 10 ft height each.  Incorporating the training spaces listed in the UFC, a facility size of 50 ft x 50 ft, with 10 ft floor heights and 4 floors has been chosen as the basis of the RUC. </t>
  </si>
  <si>
    <t xml:space="preserve">NFPA 1402 recommends no sprinkler system as repetitive use of extinguishing chemicals, recycled water used in the training process and smoke particulates will render the sprinklers unserviceable .
</t>
  </si>
  <si>
    <t xml:space="preserve">No UFC requirement exists for the incorporation of a loading dock.
UFC 4-179-01 and NFPA 1402 describe the need for recovery, holding, and separation of water runoff prior to discharge to the local wastewater treatment process .  A detention/settlement chamber system and pond has been added to the unit cost.
</t>
  </si>
  <si>
    <t xml:space="preserve">No UFC requirement exists for the incorporation of overhead cranes.
</t>
  </si>
  <si>
    <t xml:space="preserve">No UFC criteria exist for component material. </t>
  </si>
  <si>
    <t>• M&amp;S Selection Business Rule
• Fire Sprinkler Business Rule
• Overhead Crane Business Rule
• MILCON Cost Premium Business Rule</t>
  </si>
  <si>
    <t xml:space="preserve">UFC 4-179-01, "Design: Navy Firefighting School Facilities," 16 January 2004
NFPA 1402, "Guide to Building Fire Service Training Centers," 2012 Edition, Para. 9.4 and 10.7 
UFC 4-179-01, Appendix A, "MIL-HDBK 1027/1B, Firefighting School Facilitates," 31 January 1998
UFC 4-179-01, Appendix A, para 2.2.5, "Wastewater;" and Section 5, "Protection of the Environment"
</t>
  </si>
  <si>
    <t>Urban Combat Training Area, Non-Fire</t>
  </si>
  <si>
    <t>Urban Cluster (Bank Barn, 2-Story - Special Purpose), 30 FT x 30 FT), Class D, Low Cost x 4 Buildings</t>
  </si>
  <si>
    <t>Structure, Reinforced concrete (Armory, Class CDS) 12 EA, 1800 SF</t>
  </si>
  <si>
    <t>EA per SF</t>
  </si>
  <si>
    <t>Underground Wiring, 2", plastic duct, plus excavation and backfill, 2,400 LF total</t>
  </si>
  <si>
    <t>LF per SF</t>
  </si>
  <si>
    <t>8" Thick Reinforced Concrete Roadway, 2,200 SY</t>
  </si>
  <si>
    <t>SY per SF</t>
  </si>
  <si>
    <t>Road, Asphalt, 3" thick, 1500 SY</t>
  </si>
  <si>
    <t>Utility tunnel, 3"-5" wall, medium soil, 5 FT x 7 FT cross-section, 504 LF</t>
  </si>
  <si>
    <t>CF to SF</t>
  </si>
  <si>
    <t>Machine gun bunker (144 SF concrete x 8" w/rebar), 4 EA</t>
  </si>
  <si>
    <t>Bank run gravel, Spread, 4,622 CY per Range</t>
  </si>
  <si>
    <t>CY per SF</t>
  </si>
  <si>
    <t>Backfill &amp; compaction, 2,020 CY</t>
  </si>
  <si>
    <t xml:space="preserve">FAC 1796 design criteria is found in the United States Army Training Circular (TC) 25-8.    
</t>
  </si>
  <si>
    <t xml:space="preserve">• Selection of material per PAX newsletter
• See “Range Business Rules” and “Marshall and Swift Selection Business Rules” for type of materials.
</t>
  </si>
  <si>
    <t xml:space="preserve">There are 712 FAC 1796 records, with an average size of 24,769 SF.  
This FAC aggregates six (1 AF, 5 Army) category codes.  Included category codes 17901 (Combined Arms Collective Training Facility) and 17996 (Collective Training Facility) are representative of the urban combat training area and have notional designs in TC 25-8 on which to base a representative design/cost estimate.
Each category code represents an urban training facility with between 16 and 24 buildings of various types, a tunnel/sewer system, and human urban targets, stationary infantry targets and stationary armor targets,  all buildings and target areas have CCTV cameras (100% coverage).  Live ballistic fire is prohibited on this facility; pyrotechnics are not authorized for the tunnel/sewer area.    
</t>
  </si>
  <si>
    <t xml:space="preserve">The USACE Engineering and Support Center, Huntsville (HNC) Range and Training Land Program (RTLP) “Program Information” section states “fire detection and protection are not typically required in Standard Range Facilities by either National Fire Protection Association (NFPA) 101, Life Safety Code; or UFC 3-600-01, "Fire Protection Engineering for Facilities."
</t>
  </si>
  <si>
    <t xml:space="preserve">No specific requirement exists for the incorporation of a loading dock; while there is no criteria, an engineering analysis would be performed during the design phase, based upon the topography of the surrounding access streets, expected delivery methods, throughput, ordnance equipment size.  
</t>
  </si>
  <si>
    <t xml:space="preserve">No specific requirement exists for the incorporation of an overhead crane; while there is no criteria, an engineering analysis would be performed during the design phase, based upon the topography of the surrounding access streets, expected delivery methods, throughput, ordnance equipment size.  
</t>
  </si>
  <si>
    <t>Limited established standards exist, as explained above, with a situation- and site-specific design required.</t>
  </si>
  <si>
    <t>• M&amp;S Selection Business Rule
• Elevator Business Rule
• Fire Sprinkler Business Rule
• Overhead Crane Business Rule
• MILCON Cost Premium Business Rule
• Range Business Rules</t>
  </si>
  <si>
    <t>USACE HNC RTLP Program Information, Fire Detection and Protection, page 1/1, 23 May 2005.
The USACE HNC RTLP Program Information 
UFC 3-600-01, "Fire Protection Engineering for Facilities," 08 August 2016 with Change 2, 25 March 2018
U.S. Army TC 25-8, "Training Ranges," 22 July 2016</t>
  </si>
  <si>
    <t>Hand Grenade Range, Non-Firing</t>
  </si>
  <si>
    <t>TC 25-8 Standard Size / Hand Grenade Qualification Course</t>
  </si>
  <si>
    <t>2 man fighting position (104 SF concrete x 8" with Rebar)</t>
  </si>
  <si>
    <t>Machine gun bunker (144 SF concrete x 8" with Rebar), 2 per FP</t>
  </si>
  <si>
    <t>Target Berm, 1 M x 1 M x 2 M (2.6 CY), 4 targets/lane, Backfill &amp; Compaction, 12" Layers</t>
  </si>
  <si>
    <t>Berm, 40 M x 1 M x 2 M = 104 CY, Backfill &amp; Compaction, 12" Layers</t>
  </si>
  <si>
    <t>Bank Run Gravel, Spread, 104 CY per berm</t>
  </si>
  <si>
    <t>Infiltration Course, Live Fire</t>
  </si>
  <si>
    <t>TC 25-8 Standard Size / Infiltration Course</t>
  </si>
  <si>
    <t xml:space="preserve">Blast Wall 360 M (360 M x 2 M = 7,750 SF), 12" concrete wall </t>
  </si>
  <si>
    <t>Machine gun bunker (144 SF concrete x 8" with rebar), 3 per Range</t>
  </si>
  <si>
    <t>Total Berm, 360 M x 2 M x 2 M = 1,883 CY / Backfill &amp; compaction</t>
  </si>
  <si>
    <t>Bank run gravel, Spread, 205 CY per Range</t>
  </si>
  <si>
    <t>Confidence/Obstacle Course</t>
  </si>
  <si>
    <t>Source:</t>
  </si>
  <si>
    <t>Component</t>
  </si>
  <si>
    <t>Cost</t>
  </si>
  <si>
    <t>Cut/fill/compact: track between obstacles = 17 * 30 YD x 6 YD = 3,060 SY * 2/3 YD average depth = 2,040 CY</t>
  </si>
  <si>
    <t xml:space="preserve">CY </t>
  </si>
  <si>
    <t>Soil preparation, Fine grading running track</t>
  </si>
  <si>
    <t>SY to SF</t>
  </si>
  <si>
    <t>Stabilize running track, geotextile fabric</t>
  </si>
  <si>
    <t>Mulch, running track</t>
  </si>
  <si>
    <t>51/7</t>
  </si>
  <si>
    <t>18 stations, wood pole frames, 12"- 14", average of 4 EA, 20 FT = 1,440 LF each station</t>
  </si>
  <si>
    <t>18 stations, wood beams and columns, 4"x4", average of 14 each, 10 FT, 2,520 LF each station</t>
  </si>
  <si>
    <t>Note:  Layout of obstacle course from FM 7-22, "Army Physical Readiness Training," October 2012, and AFI 36-2202, "Air Force Obstacle Course Program," 07 August 2007</t>
  </si>
  <si>
    <t>Aircraft Maintenance Hangar</t>
  </si>
  <si>
    <t>Maintenance Hangars: General Purpose, Low-Mid Bay, Up to 40 FT  High</t>
  </si>
  <si>
    <t>Aircraft Maintenance Shop</t>
  </si>
  <si>
    <t>14/14</t>
  </si>
  <si>
    <t>Industrial, Light Manufacturing, Class B, Average (Excellent rating not available)</t>
  </si>
  <si>
    <t>14/16</t>
  </si>
  <si>
    <t>Industrial, Engineering Building, Class B, Excellent, including elevator (Deduct $3.79 / SF for no included elevator)</t>
  </si>
  <si>
    <t>14/29</t>
  </si>
  <si>
    <t>Maintenance Hangar, Class C, Excellent (Class B not available), including Craneway</t>
  </si>
  <si>
    <t>Average of three Building types</t>
  </si>
  <si>
    <t>53/12</t>
  </si>
  <si>
    <t>Air foam fire extinguishing system, high expansion, 15,000 CFM</t>
  </si>
  <si>
    <t>EA to SF</t>
  </si>
  <si>
    <t xml:space="preserve">Bridge crane, 10 ton, 50 FT span </t>
  </si>
  <si>
    <t>Sprinkler Early Suppression Fast Response system and pump</t>
  </si>
  <si>
    <t>Sprinkler, 10,000 SF, Wet System, Excellent</t>
  </si>
  <si>
    <t xml:space="preserve">Unified Facilities Criteria (UFC) 4-211-01, Aircraft Maintenance Hangars": Type I, Type II and Type III </t>
  </si>
  <si>
    <t xml:space="preserve">UFC 4-211-01N provides design guidance for materials. 
The Marshall and Swift Maintenance Hangar is consistent with the UFC material criteria.
Applying the Marshall and Swift Selection Business Rule, this FAC is Marshall &amp; Swift Class B, Excellent Quality.
</t>
  </si>
  <si>
    <t xml:space="preserve">The average area for this FAC is 11,766 SF.
The Occupancy Group assigned is B, Business.
</t>
  </si>
  <si>
    <t xml:space="preserve">International Building Code Group B
UFC 4-211-01 directs use of both a high level wet sprinkler as well as a low level foam system. 
</t>
  </si>
  <si>
    <t xml:space="preserve">No UFC requirement exists for the incorporation of a loading dock.
The average number of floors is 1.3, yielding no elevators for the number of occupants, applying the Elevator Business Rule.  
</t>
  </si>
  <si>
    <t xml:space="preserve">UFC 4-211-01 design criteria calls for a 5-ton overhead bridge crane in Type I hangars and a 7-ton crane in Type 2 hangars.  The craneway is included in the Marshall and Swift Class C/Excellent unit price.  A 10-ton bridge crane is included in the Replacement Unit Cost valuation.
</t>
  </si>
  <si>
    <t>Criteria for components and materials are included in UFC 4-211-01.</t>
  </si>
  <si>
    <t>• M&amp;S Selection Business Rule
• Elevator Business Rule
• Fire Sprinkler Business Rule
• Overhead Crane Business Rule
• MILCON Cost Premium Business Rule</t>
  </si>
  <si>
    <t xml:space="preserve">UFC 4-211-01, "Aircraft Maintenance Hangars," 13 April 2017, with Change 1, 01 November 2009 (Section 3)
</t>
  </si>
  <si>
    <t>Aircraft Corrosion Control Hangar</t>
  </si>
  <si>
    <t>Maintenance Hangars:, Aircraft Corrosion Control Maintenance</t>
  </si>
  <si>
    <t>Aircraft Engine Test Building</t>
  </si>
  <si>
    <t>USACE PAX Newsletter 3.2.2 Dated 4 Jan 2011</t>
  </si>
  <si>
    <t>Aircraft Engine Test facility</t>
  </si>
  <si>
    <t>Aircraft Maintenance Hangar, Depot</t>
  </si>
  <si>
    <t>Maintenance Hangars: High Bay Maintenance, Over 40 FT High</t>
  </si>
  <si>
    <t>Aircraft Maintenance Shop, Depot</t>
  </si>
  <si>
    <t>USACE PAX Newsletter 3.2.2, 24 July 2014</t>
  </si>
  <si>
    <t>Aircraft Component Repair Shop (Machine Shop)</t>
  </si>
  <si>
    <t>Aircraft Engine Test Facility</t>
  </si>
  <si>
    <t>11,088 SF</t>
  </si>
  <si>
    <t>USACE PAX Newsletter 3.2.2, 4 January 2011</t>
  </si>
  <si>
    <r>
      <t xml:space="preserve">Average size extracted from </t>
    </r>
    <r>
      <rPr>
        <sz val="11"/>
        <color theme="1"/>
        <rFont val="Calibri"/>
        <family val="2"/>
        <scheme val="minor"/>
      </rPr>
      <t>2017 RPAD Facility Table</t>
    </r>
  </si>
  <si>
    <t>Missile Maintenance &amp; Assembly Building</t>
  </si>
  <si>
    <t>Marshall and Swift Valuation;                                                      October 2017</t>
  </si>
  <si>
    <t>Extended Cost</t>
  </si>
  <si>
    <t>Industrial, Heavy (Process) Manufacturing, Class A, Average, including craneway, HVAC and elevator  (Deduct $2.29 / SF for no included elevator)</t>
  </si>
  <si>
    <t>Sprinkler, 10,000 SF, Dry System, excellent</t>
  </si>
  <si>
    <t>Add 15% for Hazard occupancy sprinkler</t>
  </si>
  <si>
    <t>Add Early Suppression Fast Response (ESFR) sprinkler and pump</t>
  </si>
  <si>
    <t>Bridge Crane, 10 ton, span = 75 ft</t>
  </si>
  <si>
    <t>per UM</t>
  </si>
  <si>
    <t>Overhead door, rollup, 2 doors, 9' X 9' door (81 SF)</t>
  </si>
  <si>
    <t>SF / door</t>
  </si>
  <si>
    <t>for 2 doors</t>
  </si>
  <si>
    <t>Door electric operation, 2 doors</t>
  </si>
  <si>
    <t>per door</t>
  </si>
  <si>
    <t xml:space="preserve">Dock bumpers, 10 LF </t>
  </si>
  <si>
    <t>Dock seal, 10" projection</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</si>
  <si>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</si>
  <si>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</si>
  <si>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11,553SF.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</si>
  <si>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</si>
  <si>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estimates  the average number of loading docks per square foot of industrial or warehouse is 1 dock per 7,500 sf of floor space.  For this FAC, 2 loading dock assemblies are provided. The guide specification for design of a loading dock is contained in the Unified Facilities Guide Specification (UFGS). 
The average number of floors is 1.6 yielding 1 elevator for the maximum number of occupants applying  the Elevator Business Rule.  The Marshall and Swift building selected for this FAC includes elevators as part of the unit price.
</t>
  </si>
  <si>
    <t xml:space="preserve">An overhead crane is provided, applying the Overhead Crane Business Rule.  </t>
  </si>
  <si>
    <t>UFC 3-101-01, "Architecture," 28 November 2011, with Change 3, 20 June 2016.
UFC 4-200-xx (Series), "Maintenance and Production Facilities," various dates.
Commercial Real Estate Development Association, NAIOP Research Foundation, “NAIOP Terms and Definitions: North American Office and Industrial Market, pg. 12.
UFGS-11 13 19.13, "Loading Dock Levelers," August 2009</t>
  </si>
  <si>
    <t>Missile Launcher Maintenance Support Facility</t>
  </si>
  <si>
    <t>Industrial, Heavy (Process) Manufacturing, Class A, Average, including craneway, HVAC and elevator (Deduct $2.29 for no elevator)</t>
  </si>
  <si>
    <t>SF door</t>
  </si>
  <si>
    <t>Dock bumpers, 10 LF / door</t>
  </si>
  <si>
    <t>per LF per UM</t>
  </si>
  <si>
    <t>Dock leveler, hydraulic, 2 EA</t>
  </si>
  <si>
    <t>Dock seal, 10" projection, 2 EA</t>
  </si>
  <si>
    <t>Dock shelter, 2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</si>
  <si>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</si>
  <si>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A, Average Quality.
</t>
  </si>
  <si>
    <t xml:space="preserve">The average area for this FAC is 11,323 SF.
The Occupancy Group assigned is H, Hazard.
</t>
  </si>
  <si>
    <t xml:space="preserve">International Building Code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</si>
  <si>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1.1 yielding 0 elevators for the maximum number of occupants applying  the Elevator Business Rule.  
</t>
  </si>
  <si>
    <t>UFC 3-101-01, "Architecture," 28 November 2011, with Change 3, 20 June 2016
UFC 4-200-xx (Series), Maintenance and Production Facilities, various dates
Commercial Real Estate Development Association, NAIOP Research Foundation, “NAIOP Terms and Definitions: North American Office and Industrial Market," pg. 12.
UFGS-11 13 19.13, "Loading Dock Levelers," August 2009</t>
  </si>
  <si>
    <t>Missile Test Tower</t>
  </si>
  <si>
    <t>Design Footprint</t>
  </si>
  <si>
    <t>100' Tower, Self Supporting, High Cost</t>
  </si>
  <si>
    <t xml:space="preserve">Concrete, 12", bar reinforced </t>
  </si>
  <si>
    <t>Trolleyway, 7.5 Tons, High Cost; Assume 100' track</t>
  </si>
  <si>
    <t xml:space="preserve">Trolley, Geared, 7.5 Tons, High Cost </t>
  </si>
  <si>
    <t>100' Tower Height based on 2016 RPAD</t>
  </si>
  <si>
    <t>Missile Maintenance/Assembly Building, Depot</t>
  </si>
  <si>
    <t>Industrial, Heavy (Process) Manufacturing, Class A, Average, including craneway, HVAC and elevator</t>
  </si>
  <si>
    <t>Sprinkler, 30,000 SF, Dry System, Average</t>
  </si>
  <si>
    <t>Bridge Crane, 10 ton, span = 75 ft, 2 EA</t>
  </si>
  <si>
    <t>Overhead door, rollup, 4 doors, 9' X 9' door (81 SF)</t>
  </si>
  <si>
    <t>Door electric operation, 4 doors</t>
  </si>
  <si>
    <t>Dock bumpers, 10 LF/door</t>
  </si>
  <si>
    <t>for 4 doors</t>
  </si>
  <si>
    <t>Dock leveler, hydraulic, 4 EA</t>
  </si>
  <si>
    <t>Dock seal, 10" projection, 4 EA</t>
  </si>
  <si>
    <t>Dock shelter, 4 EA</t>
  </si>
  <si>
    <t>ICBM Processing Facility</t>
  </si>
  <si>
    <t>Sprinkler, 30,000 SF, Dry System, Excellent</t>
  </si>
  <si>
    <t>Hazard occupancy sprinkler, add 15%</t>
  </si>
  <si>
    <t>Overhead door, rollup, 4 doors, 9' X 9' door</t>
  </si>
  <si>
    <t>Dock bumpers, Horizontal, 10 LF, 4 EA</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</si>
  <si>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</si>
  <si>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M&amp;S Selection Business Rule, the FAC is Marshall &amp; Swift Class A, Average Quality.
</t>
  </si>
  <si>
    <t xml:space="preserve">The average area for this FAC is 33,293 SF.
The Occupancy Group assigned is H, High Hazard.
</t>
  </si>
  <si>
    <t xml:space="preserve">International Building Code (IBC) Group H.
A fire sprinkler has been incorporated, applying the Fire Sprinkler Business Rule.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</si>
  <si>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warehouse(1 dock per 7,500 SF of floor space.    For this FAC, 2 loading dock assemblies are provided.   The guide specification for design of a loading dock is contained in the Unified Facilities Guide Specification (UFGS). 
The average number of floors is 1.6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</si>
  <si>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included in the building's unit cost.</t>
  </si>
  <si>
    <t>UFC 3-101-01, "Architecture," 28 November 2011, with Change 3, 20 June 2016.
UFC 4-200-xx (Series), "Maintenance and Production Facilities," various dates.
Commercial Real Estate Development Association, NAIOP Research Foundation, “NAIOP Terms and Definitions: North American Office and Industrial Market, pg. 12.
UFGS-11 13 19.13, "Loading Dock Levelers," August 2009.                                                                                                                                                                                                                                                                            IBC, 2018 edition.</t>
  </si>
  <si>
    <t>Ship Maintenance Drydock</t>
  </si>
  <si>
    <t>RUC with Military Cost Premium.  Survey cost data comprised of commercial assets.</t>
  </si>
  <si>
    <t xml:space="preserve">RUC is based upon a study conducted for Commander, Naval Installations command (CNIC) in FY09, which appears below in full.  </t>
  </si>
  <si>
    <t>Marine Maintenance Shop</t>
  </si>
  <si>
    <t>Maintenance Shops: Installation Maintenance, General Purpose</t>
  </si>
  <si>
    <t>Marine Maintenance Support Facility</t>
  </si>
  <si>
    <t>Industrial, Heavy (Process) Manufacturing, Class B, Average, including craneways, elevator &amp; HVAC system</t>
  </si>
  <si>
    <t>Sprinkler, 15,000 SF, Dry System, Average</t>
  </si>
  <si>
    <t>Bridge Crane, 10 Ton, Span = 75 FT</t>
  </si>
  <si>
    <t>14/27</t>
  </si>
  <si>
    <t>Loading dock, 2 EA @ 144 SF</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</si>
  <si>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</si>
  <si>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Class B, Average Quality.
</t>
  </si>
  <si>
    <t xml:space="preserve">The average area for this FAC is 17,876 SF.
The Occupancy Group assigned is F, Factory.
</t>
  </si>
  <si>
    <t xml:space="preserve">International Building Code Group F
A fire sprinkler has been incorporated, applying the Fire Sprinkler Business Rule.
</t>
  </si>
  <si>
    <t xml:space="preserve">No UFC requirement exists for the incorporation of a loading dock.  Because of the nature of maintenance and assembly work, 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commercial “Dock Planning Standards." 
The average number of floors is 1.78 yielding 1 elevator for the maximum number of occupants applying  the Elevator Business Rule.  
The Marshall and Swift building selected for this FAC includes elevators as part of the unit price.
</t>
  </si>
  <si>
    <t xml:space="preserve">• MILCON Cost Premium Business rule
• Fire Sprinkler Business Rule
• M&amp;S Selection Business Rule
• Overhead Crane Business Rule
• Elevator Business Rule
</t>
  </si>
  <si>
    <t xml:space="preserve">UFC 3-101-01, "Architecture," 28 November 2011, with Change 3, 20 June 2016.
UFC 4-200-xx (Series), Maintenance and Production Facilities, various dates.
Commercial Real Estate Development Association, NAIOP Research Foundation, “NAIOP Terms and Definitions: North American Office and Industrial Market, pg. 12.
NOVA Technology International, “Dock Planning Standards”, 2013
</t>
  </si>
  <si>
    <t>Landing Craft Wash Facility</t>
  </si>
  <si>
    <t>Vehicle Maintenance Shop</t>
  </si>
  <si>
    <t>Maintenance Shops: Military Vehicle Maintenance, Small (&lt; 21,000 SF)</t>
  </si>
  <si>
    <t>Vehicle Maintenance Shop, Depot</t>
  </si>
  <si>
    <t>Table 2, UFC 3-701-1 as of 17 Jan 2018</t>
  </si>
  <si>
    <t>Maintenance Shops: Military Vehicle Maintenance, Large (&gt; 21,000 SF)</t>
  </si>
  <si>
    <t>Vehicle Maintenance Shop, National Guard</t>
  </si>
  <si>
    <t>Vehicle Maintenance Shop, Reserve</t>
  </si>
  <si>
    <t>Vehicle Maintenance Facility</t>
  </si>
  <si>
    <t>Wash Rack / Platform</t>
  </si>
  <si>
    <t>Grease Rack (USACE PAX Newsletter, 04 Jan 2011)</t>
  </si>
  <si>
    <t>Vehicle Maintenance Shed</t>
  </si>
  <si>
    <t>POL Storage Bldg. - Tactical Equipment Maintenance Facility (TEMF)</t>
  </si>
  <si>
    <t>Hazardous Waste Storage Bldg. - Tactical Equipment Maintenance Facility (TEMF)</t>
  </si>
  <si>
    <t>Weapon Maintenance Shop</t>
  </si>
  <si>
    <t>Weapon Maintenance Shop, Depot</t>
  </si>
  <si>
    <t>Section/ Page</t>
  </si>
  <si>
    <t>Structure or Feature</t>
  </si>
  <si>
    <t>Valuation</t>
  </si>
  <si>
    <t>Conversion (As Needed)</t>
  </si>
  <si>
    <t>Extended Value</t>
  </si>
  <si>
    <t>Industrials, Heavy (Process) Manufacturing Building, Class A, Average, includes craneway ; deduct $2.29 from cost for no included elevator</t>
  </si>
  <si>
    <t>Bridge Crane, 75 FT span, 10 Ton capacity</t>
  </si>
  <si>
    <t>Overhead door, rollup, 9 FT x 9 FT (81 SF)</t>
  </si>
  <si>
    <t>Door electric operation</t>
  </si>
  <si>
    <t>Dock bumpers, horizontal, 10 LF, 2 sets</t>
  </si>
  <si>
    <t>Dock Seal, 10" projection, 2 EA</t>
  </si>
  <si>
    <t xml:space="preserve">OSD Design Criteria Unified Facilities Criteria (UFC) 2-000-05N provides planning criteria for category code 200-series weapons maintenance facilities.
This criteria provides space planning guidance for armories (category code 21510) serving only the activity (installation) at which it is located, and small arms are limited to those personnel physically stationed at that activity. For the remaining category codes in this FAC, the UFC states there is no criteria, and that an engineering analysis based on throughput, ordnance equipment size, maintenance staffing and support space should determine the space requirements.
</t>
  </si>
  <si>
    <t>UFC 3-340-02, Chapter 3, “Principles of Dynamic Analysis” provides design criteria to limit the impact of accidental detonations in ordnance production and maintenance facilities.  Generally this this criteria requires the use of concrete structural.  “However, this does not imply that concrete and steel are the only useful materials for protective construction. Tests to establish the response of wood and plastics, as well as the blast attenuating and mass effects of soil are contemplated. The results of these tests may require, at a later date, the supplementation of these design methods for these and other materials.    
Because reinforced concrete is the primary material used in the dynamic analysis of detonations in this UFC, a Class A, “Average” structure was selected as this includes:
• Heavy structural frame and masonry or concrete walls
• Excellent lighting and plumbing
• Extra heavy floors, partitions and included craneway</t>
  </si>
  <si>
    <t xml:space="preserve">The average size of this FAC is 12,908 SF. </t>
  </si>
  <si>
    <t xml:space="preserve">UFC 3-600-01, "Fire Protection Engineering for Facilities," states “Complete automatic sprinkler protection is required for Ordnance Facilities used  for manufacturing, maintaining, demilitarizing, handling, processing, testing, servicing, and inspecting of ammunition, explosives, pyrotechnics, propellants, and oxidizers or related devices containing these materials, unless such a system will aggravate the hazard. 
International Building Code (IBC) classification group H, Hazard.
</t>
  </si>
  <si>
    <t xml:space="preserve">No specific requirement for a loading dock is found in a UFC.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
  </si>
  <si>
    <t xml:space="preserve"> A bridge crane is provided in the calculation of replacement unit cost in consonance with the overhead crane business rule.  A craneway is included in the building's unit cost.</t>
  </si>
  <si>
    <t>• MILCON Cost Premium Business Rule
• M&amp;S Selection Business Rule
• Overhead Crane Business Rule
• Elevator Business Rule</t>
  </si>
  <si>
    <t>UFC 2-200-05N, "Facility Planning for Navy and Marine Corps Shore Installations," Various Chapters and Series. 
UFC 3-340-02, "Structures to Resist the Effects of Accidental Explosions," 05 December 2008, with Change 2, 01 September 2014.
UFC 3-600-01, "Fire Protection Engineering for Facilities," 08 August 2016, with Change 2, 25 March 2018.
Commercial Real Estate Development Association, NAIOP Research Foundation, “NAIOP Terms and Definitions: North American Office and Industrial Market, pg. 12.
UFGS-11 13 19.13, "Loading Dock Levelers,"  August 2009                                                                                                                                                                                                                                                                                         IBC, 2018 edition</t>
  </si>
  <si>
    <t>Weapon Maintenance Facility Depot</t>
  </si>
  <si>
    <t>Industrials, Heavy (Process) Manufacturing Building, Class A, Average, includes craneway (Deduct $2.29 / SF for no included elevator)</t>
  </si>
  <si>
    <t>Bridge Crane, 50' span, 10 Ton capacity, 1 EA</t>
  </si>
  <si>
    <t>SF Conversion</t>
  </si>
  <si>
    <t>Sprinkler, 10,000 SF, Wet System, Good</t>
  </si>
  <si>
    <t>Note: crane aspect ratio = 1:2; building is approximately 65 LF x 131 LF</t>
  </si>
  <si>
    <t>Ammunition Maintenance Shop</t>
  </si>
  <si>
    <t>Bridge Crane, 50' span, 5 Ton capacity, 1 EA</t>
  </si>
  <si>
    <t>1 EA</t>
  </si>
  <si>
    <t>Shipping dock, one 12' x 12' dock (144 SF)</t>
  </si>
  <si>
    <t>SF of dock</t>
  </si>
  <si>
    <t>SF dock per SF FAC</t>
  </si>
  <si>
    <t>Sprinkler, 5,000 SF, Wet System, Average</t>
  </si>
  <si>
    <t xml:space="preserve">Hazard occupancy sprinkler (Add 15% of system unit cost) </t>
  </si>
  <si>
    <t>Ammunition Maintenance Shop, Depot</t>
  </si>
  <si>
    <t xml:space="preserve">Unified Facilities Criteria (UFC) for Multi-Disciplinary and Facility Specific Design (3-101-01, Architecture, and 4-200 Maintenance and Production Facilities, do not provide guidance for this FAC.   </t>
  </si>
  <si>
    <t xml:space="preserve">The average area for this FAC is 5,484 SF.
The Occupancy Group assigned is H, Hazard.
</t>
  </si>
  <si>
    <t xml:space="preserve">No UFC requirement exists for the incorporation of a loading dock.  Because of the nature of maintenance and assembly work, a loading dock has been included.
The average number of floors is 1.02 yielding 0 elevators for the maximum number of occupants applying  the Elevator Business Rule.  
</t>
  </si>
  <si>
    <t xml:space="preserve">• Military Construction Cost Premium
• Fire Sprinkler Business Rule
• M&amp;S Selection Business Rule
• Overhead Crane Business Rule
• Elevator Business Rule
</t>
  </si>
  <si>
    <t xml:space="preserve">UFC 3-101-01, "Architecture," 28 November 2011, with Change 3, 20 June 2016.
UFC 4-200-xx (Series), Maintenance and Production Facilities, various dates
</t>
  </si>
  <si>
    <t>Ammunition Maintenance Facility,  Depot</t>
  </si>
  <si>
    <t>Bridge Crane, 75' span, 10 Ton capacity, 1 EA</t>
  </si>
  <si>
    <t>Note: crane aspect ratio = 1:2; building is approx. 100 FT  x 200 FT</t>
  </si>
  <si>
    <t>Electronic and Communication Maintenance Shop</t>
  </si>
  <si>
    <t>Electronics Maintenance Shop - Depot Level</t>
  </si>
  <si>
    <t>Electronic and Communication Maintenance Shop, Depot</t>
  </si>
  <si>
    <t>Electronic and Communication Maintenance Facility</t>
  </si>
  <si>
    <t>Triangular Guyed Tower, 54" Master TV systems, high cost</t>
  </si>
  <si>
    <t>29 active assets in inventory, all antenna / collimation towers</t>
  </si>
  <si>
    <t>Installation Support Vehicle Maintenance Shop</t>
  </si>
  <si>
    <t>Installation Support Equipment Maintenance Shop</t>
  </si>
  <si>
    <t>Railroad Equipment Shop</t>
  </si>
  <si>
    <t>Parachute And Dinghy Maintenance Shop</t>
  </si>
  <si>
    <t>Table 2, UFC 3-701-1, Change 5, October 2012</t>
  </si>
  <si>
    <t xml:space="preserve">Maintenance Shops: Parachute And Dinghy Maintenance </t>
  </si>
  <si>
    <t>Facilities Pricing Guide, Change 5, GUCs are as of October 2012</t>
  </si>
  <si>
    <t>Installation Support Equipment Maintenance Shed</t>
  </si>
  <si>
    <t>Organizational Storage Building</t>
  </si>
  <si>
    <t>Facility Engineer Maintenance Shop</t>
  </si>
  <si>
    <t>Marshall and Swift Valuation,                                                      October 2017</t>
  </si>
  <si>
    <t>Industrial Building, Light Manufacturing, Class B, Average, not including craneway (Deduct $2.19 / SF for no included elevator)</t>
  </si>
  <si>
    <t>Bridge crane, 10 Ton, 50' span</t>
  </si>
  <si>
    <t>Craneway, 10 Ton, 100 LF</t>
  </si>
  <si>
    <t>Craneway electrical assembly</t>
  </si>
  <si>
    <t xml:space="preserve">There are no criteria for facilities engineer maintenance shops contained in the Unified Facilities Criteria (UFC), and in particular the 4-200, Maintenance and Production Facilities, series.  
</t>
  </si>
  <si>
    <t xml:space="preserve">The type of building selected using the Marshall &amp; Swift Business Rule is Marshall &amp; Swift Industrial, Light Manufacturing, Class B, Average Quality.  
</t>
  </si>
  <si>
    <t xml:space="preserve">The average area of this FAC is 5,696 SF.
The International Building Code Occupancy Group assigned is F, Factory.
</t>
  </si>
  <si>
    <t xml:space="preserve">International Building Code (IBC) Group F.
DoD facilities are designed in compliance with National Fire Protection Association (NFPA) 13  and UFC 3-600-01, "Fire Protection Engineering for Facilities."  UFC 3-600-01 refers the designer to the IBC.  The Fire Sprinkler Business Rule incorporates the requirements of NFPA, UFC 3-600-01 and the IBC, and requires a sprinkler only when the fire area exceeds 12,000 SF for Group F Occupancies.  
</t>
  </si>
  <si>
    <t xml:space="preserve">UFC 4-440-01 sets a requirement for loading docks.  Although the number of truck docks is calculated by a consideration of number of trucks arriving and loading/unloading time, the Commercial Real Estate Development Association (NAIOP)  provides an estimate of the average number of loading docks per square foot of manufacturing or warehouse averages 1:7,500.   With an average less than the threshold for a loading dock, no loading dock assembly is provided.   
An elevator is not provided as the average number of floors is 1.09; applying the Elevator Business Rule, no elevator is incorporated. 
</t>
  </si>
  <si>
    <t xml:space="preserve">Applying the Overhead Crane Business Rule, a bridge crane is provided in the estimate.   A craneway is included in the building's unit cost.
</t>
  </si>
  <si>
    <t xml:space="preserve">No UFC criteria exists for components or materials.
</t>
  </si>
  <si>
    <t xml:space="preserve">• Military Construction Cost Premium
• Fire Sprinkler Business Rule
• M&amp;S Selection Business Rule
• Overhead Crane Business Rule
</t>
  </si>
  <si>
    <t xml:space="preserve">NFPA 13, Standard for the Installation of Fire Sprinkler Systems
UFC 3-600-01, "Fire Protection Engineering for Facilities," 08 August 2016 with Change 2, 25 March 2018
Commercial Real Estate Development Association, NAIOP Research Foundation, “NAIOP Terms and Definitions: North American Office and Industrial Market, pg. 12.                         IBC, 2018 edition
</t>
  </si>
  <si>
    <t>Facility Engineer Maintenance Facility</t>
  </si>
  <si>
    <t>Sprinkler, 5,000 SF, Wet System, average</t>
  </si>
  <si>
    <t>Average Size taken from FAC 2191</t>
  </si>
  <si>
    <t>Aircraft Production Plant</t>
  </si>
  <si>
    <t>Industrial, Heavy (Process) Manufacturing, Class A, Average, including HVAC, elevator, and craneway</t>
  </si>
  <si>
    <t>Sprinkler, 80,000 SF, Dry System, Average</t>
  </si>
  <si>
    <t>Bridge Crane, 10 ton, span = 100 ft, 2 EA</t>
  </si>
  <si>
    <t>Overhead door, roll-up, 81 SF/door, 12 EA</t>
  </si>
  <si>
    <t>Overhead door, electrical operator, 12 EA</t>
  </si>
  <si>
    <t>Dock bumpers, Horizontal, 10 LF</t>
  </si>
  <si>
    <t>LF per UM</t>
  </si>
  <si>
    <t xml:space="preserve">Unified Facilities Criteria (UFC) for Multi-Disciplinary and Facility Specific Design (UFC 3-101-01, Architecture, and UFC 4-200, Maintenance and Production Facilities) do not provide guidance for this FAC.   
</t>
  </si>
  <si>
    <t xml:space="preserve">No UFC criteria exist for component material.  
Applying the Marshall and Swift  Selection Business Rule, the FAC is Marshall &amp; Swift Industrial Building Manufacturing (495), Class A, Average Quality.  It should be noted this differs from an aircraft hangar, as it is primarily a plant to produce aircraft assemblies, parts and therefore includes heavy industrial machinery.
</t>
  </si>
  <si>
    <t xml:space="preserve">The average area for this FAC is 87,113 SF.
The Occupancy Group assigned is F, Factory.
</t>
  </si>
  <si>
    <t xml:space="preserve">International Building Code (IBC) Group F.
A fire sprinkler has been incorporated, applying the Fire Sprinkler Business Rule.
</t>
  </si>
  <si>
    <t xml:space="preserve">No UFC requirement exists for the incorporation of a loading dock.  Because of the nature of maintenance and assembly work, 86297/7500 = 12 loading docks have been included.   As general guidance, the Commercial Real Estate Development Association (NAIOP) provides an estimate of the average number of loading docks per square foot of industrial or warehouse averaging 1 dock per 7,500 sf of floor space.   
The guide specification for design of a loading dock is contained in the Unified Facilities Guide Specification (UFGS) 11 13 19.13 and Whole Building Design Guide (WBDG) Federal Green Construction Guide for Specifiers, Section 11 13 00 (11160). 
The average number of floors is 1.12 yielding 1 elevator for the maximum number of occupants applying  the Elevator Business Rule.  
The Marshall and Swift building selected for this FAC includes elevators as part of the unit price.
</t>
  </si>
  <si>
    <t>Two overhead cranes are provided, applying the Overhead Crane Business Rule; both cranes ride on one craneway.   A craneway is included in the building's unit cost.  Aspect ratio is 208.7 FT X 417.4 FT</t>
  </si>
  <si>
    <t xml:space="preserve">• M&amp;S Selection Business Rule
• Elevator Business Rule
• Fire Sprinkler Business Rule
• Overhead Crane Business Rule
• MILCON Cost Premium Business Rule
</t>
  </si>
  <si>
    <t xml:space="preserve">Commercial Real Estate Development Association, NAIOP Research Foundation, “NAIOP Terms and Definitions: North American Office and Industrial Market, pg. 12.
UFGS-11 13 19.13, "Loading Dock Levelers," August 2009                                                                                                                                                                                                                                      WBGD Federal Green Construction Guide for Specifiers, Section 11 13 00 (11160), "Loading Dock Equipment," 04 January 2010.                                                                                                 IBC, International Code Council,  2018 edition.                                                                                                </t>
  </si>
  <si>
    <t>Missile Production Plant</t>
  </si>
  <si>
    <t>Industrial, Heavy (Process) Manufacturing, Class A, Average, including HVAC and craneway (Deduct $2.29 / SF for no included elevator)</t>
  </si>
  <si>
    <t>Bridge Crane, 10 Ton, 1 EA, Span = 75 ft</t>
  </si>
  <si>
    <t>Sprinkler, Dry System, 15,000 SF, excellent</t>
  </si>
  <si>
    <t>Note:  Crane bay dimension assumed aspect ratio 1:2, 75'x150'; see Overhead Crane Business Rule tab</t>
  </si>
  <si>
    <t>Ship Production Plant</t>
  </si>
  <si>
    <t>Industrials, Heavy (Process) Manufacturing, Class B, Average, including HVAC and craneway (Deduct $2.29 / SF for no included elevator)</t>
  </si>
  <si>
    <t>Bridge Crane, 10 Ton, 2 EA, Span = 100 ft</t>
  </si>
  <si>
    <t>2 EA</t>
  </si>
  <si>
    <t>Sprinkler, Dry System, 30,000 SF, average</t>
  </si>
  <si>
    <t>Note: crane bay dimension assumed aspect ratio 1:2: 100x200 ft</t>
  </si>
  <si>
    <t>Tank/Automotive Production Plant</t>
  </si>
  <si>
    <t>Sprinkler, Dry System, 60,000 SF, excellent</t>
  </si>
  <si>
    <t>Note: crane bay dimension assumed aspect ratio 100 FT x 500 FT; two crane beams assumed on one set of rails</t>
  </si>
  <si>
    <t>Tank/Automotive Production Facility</t>
  </si>
  <si>
    <t xml:space="preserve">Industrials, Heavy (Process) Manufacturing, Class C Mill, Average </t>
  </si>
  <si>
    <t>Sprinkler, Wet System, 2,500 SF, Average</t>
  </si>
  <si>
    <t>Average number of floors above ground = 2 (1 record n 2017 RPAD)</t>
  </si>
  <si>
    <t>Weapon Production Plant</t>
  </si>
  <si>
    <t>Industrials, Heavy (Process) Manufacturing, Class A, Average, including craneway (Deduct $2.29 / SF for no included elevator)</t>
  </si>
  <si>
    <t>Craneway electrical conductor assembly</t>
  </si>
  <si>
    <t>LF Conversion</t>
  </si>
  <si>
    <t>Sprinkler, Dry System, 50,000 SF, average</t>
  </si>
  <si>
    <t>Note: crane bay dimension assumed aspect ratio 100 FT x 450 FT; two crane beams assumed on one set of rails</t>
  </si>
  <si>
    <t>Weapon Production Facility</t>
  </si>
  <si>
    <t>Industrials, Heavy (Process) Manufacturing, Class C Mill, average (Deduct $2.29 for no included elevator)</t>
  </si>
  <si>
    <t>Sprinkler, Wet System, 2,500 SF, Good</t>
  </si>
  <si>
    <t>Ammunition Production Plant</t>
  </si>
  <si>
    <t>Industrials, Heavy (Process) Manufacturing, Class A, Average, including craneway and elevator (Deduct $2.88 for no elevator included)</t>
  </si>
  <si>
    <t>Bridge Crane, 10 Ton capacity, 1 EA, Span = 50 ft</t>
  </si>
  <si>
    <t>Sprinkler, Dry System, 5,000 SF, Average</t>
  </si>
  <si>
    <t>Note: crane bay dimension assumed aspect ratio 50 FT x 100 FT</t>
  </si>
  <si>
    <t>Average floors above ground in 2017 RPAD = 1.25 (2,052 Records)</t>
  </si>
  <si>
    <t>Ammunition Production Facility</t>
  </si>
  <si>
    <t>Industrials, Heavy (Process) Manufacturing, Class A, Average, including craneway (Deduct $2.29 for no included elevator)</t>
  </si>
  <si>
    <t>Ammunition Demilitarization Plant</t>
  </si>
  <si>
    <t>USACE PAX Newsletter 3.2.2, 20 Mar 2009</t>
  </si>
  <si>
    <t>Ammunition DEMIL Facility</t>
  </si>
  <si>
    <t>Ammunition Demilitarization Facility</t>
  </si>
  <si>
    <t>Borrow, Common Fill, Spread, no Compaction</t>
  </si>
  <si>
    <t>Backfill and Compaction, Dozer, 1 x 12" lift</t>
  </si>
  <si>
    <t>Fine Grading for Small Irregular Areas &lt; 15,000 SY</t>
  </si>
  <si>
    <t>Bank Run Gravel, Spread, no Compaction, 8" lift</t>
  </si>
  <si>
    <t xml:space="preserve">Average size derived from RPAD Facility Table (89,350 SF)  </t>
  </si>
  <si>
    <t xml:space="preserve">Seven Assets in the 2017 RPAD, all are burn pads or range holding areas.  </t>
  </si>
  <si>
    <t>Electronic and Communication Production Plant</t>
  </si>
  <si>
    <t xml:space="preserve">Industrials, Light Manufacturing, Class B, Average, including elevator, no craneway included (Deduct $2.19 for no included elevator) </t>
  </si>
  <si>
    <t>Sprinkler, Dry System, 60,000 SF, Average</t>
  </si>
  <si>
    <t>Miscellaneous Support Production Plant</t>
  </si>
  <si>
    <t>Industrials, Light Manufacturing, Class B, Average, including elevator, no craneway included (Deduct $2.19 for no included elevator)</t>
  </si>
  <si>
    <t>Bridge Crane, 10 Ton capacity, 75 FT span, 1 EA</t>
  </si>
  <si>
    <t>Craneway, 144 LF x 2 = 288 LF</t>
  </si>
  <si>
    <t>Sprinkler, Dry System, 10,000 SF, Average</t>
  </si>
  <si>
    <t>Construction Material Production Plant</t>
  </si>
  <si>
    <t>14/41</t>
  </si>
  <si>
    <t>Asphalt Plant, assume 180 tons / hour production rate (class average)</t>
  </si>
  <si>
    <t>t/hr.</t>
  </si>
  <si>
    <t>tons / hour</t>
  </si>
  <si>
    <t>RDT&amp;E Laboratory</t>
  </si>
  <si>
    <t>Laboratory  Buidling, Class A/B, Average, with complete HVAC, including elevator</t>
  </si>
  <si>
    <t>Sprinkler, Dry System, 15,000 SF, Average</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</si>
  <si>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</si>
  <si>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  
</t>
  </si>
  <si>
    <t xml:space="preserve">The average area for this FAC is 16,418 SF .
IBC Group B
</t>
  </si>
  <si>
    <t xml:space="preserve">UFC 1-200-01 and UFC 3-600-01 require compliance with the IBC.  
IBC Group B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</si>
  <si>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</si>
  <si>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</si>
  <si>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</si>
  <si>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Medical Research Laboratory</t>
  </si>
  <si>
    <t>HVAC for Labs</t>
  </si>
  <si>
    <t>Fume hood air &amp; ventilation</t>
  </si>
  <si>
    <t>Sprinkler, Dry System, 30,000 SF, Average</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</si>
  <si>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</si>
  <si>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31,952 SF
IBC Group B
</t>
  </si>
  <si>
    <t xml:space="preserve">• UFC 1-200-01 and UFC 3-600-01 require compliance with the IBC.  
• IBC Group B
• Fire suppression has been included in this Replacement Unit Cost, consistent with the Fire Sprinkler Business Rule.
</t>
  </si>
  <si>
    <t xml:space="preserve">No UFC requirement exists for the incorporation of a loading dock
One (1) elevator is provided in consonance with the Elevator Business Rules.  Elevators are included in the Marshall and Swift basic valuation for a laboratory building, Class B, average, representing this FAC.
</t>
  </si>
  <si>
    <t xml:space="preserve">No UFC criteria exist for component material, other than those consistent with fire safety noted above in building construction material.
</t>
  </si>
  <si>
    <t>Biosafety Level 3 Laboratory</t>
  </si>
  <si>
    <t xml:space="preserve">Fume Hood air &amp; ventilation </t>
  </si>
  <si>
    <t>52/6</t>
  </si>
  <si>
    <t>Clean Room, 100-10 microns, hardwall,  400 sf;   Assume 6 clean rooms</t>
  </si>
  <si>
    <t>Average Floors Above Ground = 1.96 (24 records in 2017 RPAD)</t>
  </si>
  <si>
    <t>Biosafety Level 4 Laboratory</t>
  </si>
  <si>
    <t>Laboratory  Buidling, Class A/B, Average, with complete HVAC, including elevator (Deduct $2.42/SF for no included elevator)</t>
  </si>
  <si>
    <t>Clean Room, 100-10 microns, hardwall, 300 SF;   Assume 1 clean room</t>
  </si>
  <si>
    <t>Sprinkler, Dry System, 2500 SF, Average</t>
  </si>
  <si>
    <t>Aircraft RDT&amp;E Facility</t>
  </si>
  <si>
    <t>USACE PAX Newsletter 3.2.2,                                                           Various Publications</t>
  </si>
  <si>
    <t>Chemistry Lab (USACE PAX Newsletter, 20 March 2009)</t>
  </si>
  <si>
    <t>Aircraft Maintenance Hanger, General Purpose (USACE PAX Newsletter, 30 May 2018)</t>
  </si>
  <si>
    <t>Aircraft Component Repair Shop (USACE PAX Newsletter, 24 July 2014)</t>
  </si>
  <si>
    <t>Aircraft Engine Test Facility (USACE PAX Newsletter, 04 January 2011)</t>
  </si>
  <si>
    <t>Missile and Space RDT&amp;E Facility</t>
  </si>
  <si>
    <t>Aircraft Maintenance Hanger, General Purpose (USACE PAX Newsletter, 30  May 2018)</t>
  </si>
  <si>
    <t>Missile Maintenance Facility (USACE PAX Newsletter, 20 March 2009)</t>
  </si>
  <si>
    <t>Ship and Marine RDT&amp;E Facility</t>
  </si>
  <si>
    <t>Industrial, Engineering (Research &amp; Development) Building, Class B, Average, including elevator</t>
  </si>
  <si>
    <t>Sprinkler, 20,000 SF, Dry System, Average</t>
  </si>
  <si>
    <t>Bridge Crane, 10 ton, span = 75 LF (Note)</t>
  </si>
  <si>
    <t>Craneway, 172 LF x 2 = 344 LF</t>
  </si>
  <si>
    <t>Overhead door, roll-up, 9'x9' door, 81 SF/door</t>
  </si>
  <si>
    <t>Overhead door electric operator</t>
  </si>
  <si>
    <t>Dock bumpers, 10 LF, 3 EA</t>
  </si>
  <si>
    <t>Dock leveler, hydraulic, 3 EA</t>
  </si>
  <si>
    <t>Dock seal, 10" projection, 3 eEA</t>
  </si>
  <si>
    <t>Dock shelter, 3 EA</t>
  </si>
  <si>
    <t xml:space="preserve">Unified Facilities Criteria (UFC) for Multi-Disciplinary and Facility Specific Design (3-101-01 Architecture; and 4-300 RDT&amp;E Facilities  do not provide guidance for this FAC.   
</t>
  </si>
  <si>
    <t xml:space="preserve">No UFC criteria exist for component material.  
Applying the Marshall and Swift Selection Business Rule, the FAC is  Marshall &amp; Swift Class A, Average Quality.
</t>
  </si>
  <si>
    <r>
      <rPr>
        <sz val="11"/>
        <color theme="1"/>
        <rFont val="Calibri"/>
        <family val="2"/>
        <scheme val="minor"/>
      </rPr>
      <t>The average area for this FAC is 27,320 SF.</t>
    </r>
    <r>
      <rPr>
        <sz val="11"/>
        <rFont val="Calibri"/>
        <family val="2"/>
        <scheme val="minor"/>
      </rPr>
      <t xml:space="preserve">
The Occupancy Group assigned is B, Business.
</t>
    </r>
  </si>
  <si>
    <t xml:space="preserve">International Building Code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</si>
  <si>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3 loading dock assemblies are provided.   
The guide specification for design of a loading dock is contained in the Unified Facilities Guide Specification (UFGS) . 
The average number of floors above gound is 1.62 yielding 1 elevator for the maximum number of occupants applying  the Elevator Business Rule.  
The Marshall and Swift building selected for this FAC includes elevators as part of the unit price.
</t>
  </si>
  <si>
    <t>An overhead crane is provided, applying the Overhead Crane Business Rule.  A craneway is not included in the building's unit cost.</t>
  </si>
  <si>
    <t xml:space="preserve">UFC 3-101-01, "Architecture," 28 November 2011, with Change 3, 20 June 2016.
UFC 4-300-xx (Series), Research, Development, Test and Evaluation Facilities
Commercial Real Estate Development Association, NAIOP Research Foundation, “NAIOP Terms and Definitions: North American Office and Industrial Market, pg. 12.
UFGS-11 13 19.13, "Loading Dock Levelers," 01 August 2009
</t>
  </si>
  <si>
    <t>Tank and Automotive RDT&amp;E Facility</t>
  </si>
  <si>
    <t>Industrial, Engineering (Research &amp; Development) Building, Class B, Average, including elevator (Deduct $2.42/SF for no included elevator)</t>
  </si>
  <si>
    <t>Bridge Crane, 10 ton, span = 75 ft (Note)</t>
  </si>
  <si>
    <t>Craneway, 127 lf x 2 = 254 lf</t>
  </si>
  <si>
    <t>Overhead door, roll-up, 9 FT x 9 FT door, 81 SF/door</t>
  </si>
  <si>
    <t>Dock bumpers, 10 lf, 3 ea.</t>
  </si>
  <si>
    <t>Dock leveler, hydraulic, 3 ea.</t>
  </si>
  <si>
    <t>Dock seal, 10" projection, 3 ea.</t>
  </si>
  <si>
    <t>Dock shelter, 3 ea.</t>
  </si>
  <si>
    <t>Average number of floors above ground = 1.17 (58 records in the 2017 RPAD)</t>
  </si>
  <si>
    <t>Weapons RDT&amp;E Facility</t>
  </si>
  <si>
    <t>Extended Price</t>
  </si>
  <si>
    <t>Bridge Crane, 10 Ton, 1 EA, Span = 75 FT</t>
  </si>
  <si>
    <t>Craneway, 10 Ton, 123 x 2 LF = 246 LF</t>
  </si>
  <si>
    <t>LF to UM</t>
  </si>
  <si>
    <t>Overhead door, roll-up</t>
  </si>
  <si>
    <t>per SF door</t>
  </si>
  <si>
    <t>SF per door</t>
  </si>
  <si>
    <t>Dock bumpers</t>
  </si>
  <si>
    <t>Dock leveler</t>
  </si>
  <si>
    <t>Hazard occupancy sprinkler (add 15% of sprinkler cost)</t>
  </si>
  <si>
    <t xml:space="preserve">Unified Facilities Criteria (UFC) for Multi-Disciplinary and Facility Specific Design (4 Series) is not provided for this type of facility.  The only UFC in the 4-300 Series for RDT&amp;E facilities is UFC 4-390-01, “O&amp;M: Unmanned Pressure Test Facilities Safety Certification Manual.”
</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</si>
  <si>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(General Building Requirements),” 20 June 2016, with Change 1, 01 February 2018, "DoD Building Code;" UFC 3-600-01, "Fire Protection Engineering for Facilities;" and the International Building Code (IBC).  The building use category is H, Hazardous.
</t>
  </si>
  <si>
    <t xml:space="preserve">The average area for this FAC is 10,641 SF.
The building use category is H, Hazardous
</t>
  </si>
  <si>
    <t xml:space="preserve">UFC 1-200-01 and UFC 3-600-01 require compliance with the IBC.  
IBC Group H
Fire suppression has been included in this Replacement Unit Cost, consistent with the Fire Sprinkler Business Rule.
</t>
  </si>
  <si>
    <t xml:space="preserve">No UFC requirement exists for the incorporation of a loading.  As general guidance, the Commercial Real Estate Development Association (NAIOP) provides an estimate of the average number of loading docks per square foot of industrial or warehouse averaging 1 dock per 7,500 sf of floor space.   For this FAC, 1 loading dock assembly are provided.   
The guide specification for design of a loading dock is contained in the Unified Facilities Guide Specification (UFGS). 
No elevator has been is provided in consonance with the Elevator Business Rules.
</t>
  </si>
  <si>
    <t>A bridge crane has been incorporated into the replacement unit cost in consonance with the Overhead Crane Business Rule.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</si>
  <si>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Commercial Real Estate Development Association, NAIOP Research Foundation, “NAIOP Terms and Definitions: North American Office and Industrial Market, pg. 12.
UFGS-11 13 19.13, August 2009
</t>
  </si>
  <si>
    <t>Ammunition, Explosive and Toxic RDT&amp;E Facility</t>
  </si>
  <si>
    <t>Bridge Crane, 10 Ton, Span = 40 FT</t>
  </si>
  <si>
    <t>EA/SF Conversion</t>
  </si>
  <si>
    <t>Craneway, 10 Ton, 2 x 75 FT = 150 LF</t>
  </si>
  <si>
    <t>x LF Conversion</t>
  </si>
  <si>
    <t>Sprinkler, Dry System, 5,000 SF, average</t>
  </si>
  <si>
    <t>Hazard occupancy sprinkler</t>
  </si>
  <si>
    <t xml:space="preserve">Unified Facilities Criteria (UFC) for Multi-Disciplinary and Facility Specific Design (4 Series) is not provided for this type of facility.  The only UFC in the 4-300 Series for RDT&amp;E facilities is 4-390-01, “O&amp;M: Unmanned Pressure Test Facilities Safety Certification Manual” which does not apply.
</t>
  </si>
  <si>
    <t>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"DoD Building Code;" UFC 3-600-01, "Fire Protection Engineering for Facilities;" and the International Building Code (IBC).</t>
  </si>
  <si>
    <t xml:space="preserve">The average area for this FAC is 3,416 SF.
IBC Group H, Hazard
</t>
  </si>
  <si>
    <t xml:space="preserve">UFC 1-200-01 and UFC 3-600-01 require compliance with the IBC.  
IBC Group H, Hazard
Fire suppression has been included in this Replacement Unit Cost, consistent with the Fire Sprinkler Business Rule.
</t>
  </si>
  <si>
    <t xml:space="preserve">No UFC requirement exists for the incorporation of a loading dock
No elevator is provided in consonance with the Elevator Business Rules.
</t>
  </si>
  <si>
    <t>An overhead crane is provided in consonance with the Overhead Crane Business Rule.  A craneway is not included in the building's unit cost.</t>
  </si>
  <si>
    <t xml:space="preserve">No  UFC criteria exist for component material, other than those consistent with fire safety noted above in building construction material.  The reference to Marshall and Swift commercial and governmental utility buildings includes metal and masonry construction. </t>
  </si>
  <si>
    <t xml:space="preserve">UFC 1-200-01, “DoD Building Code (General Building Requirements),” 20 June 2016, with Change 1, 01 February 2018 
UFC 3-600-01, "Fire Protection Engineering for Facilities," 08 August 2016 with Change 2, 25 March 2018
IBC, 2018 edition
</t>
  </si>
  <si>
    <t>Electronic and Communication RDT&amp;E Facility</t>
  </si>
  <si>
    <t>Overhead door, roll-up, 81 SF/door</t>
  </si>
  <si>
    <t>Dock bumpers, 10 LF, 2 ea.</t>
  </si>
  <si>
    <t>Dock leveler, hydraulic, 2 ea.</t>
  </si>
  <si>
    <t>Dock seal, 10" projection, 2 ea.</t>
  </si>
  <si>
    <t>Dock shelter, 2 ea.</t>
  </si>
  <si>
    <t xml:space="preserve">Unified Facilities Criteria (UFC) for Multi-Disciplinary and Facility Specific Design (3-101-01 Architecture; and 4-300 (series) RDT&amp;E Facilities  do not provide guidance for this FAC.   
</t>
  </si>
  <si>
    <t xml:space="preserve">No UFC criteria exist for component material.  
Applying the Marshall and Swift Selection Business Rule, the FAC is  Marshall &amp; Swift RDT&amp;E Building. Class B, Average Quality.
</t>
  </si>
  <si>
    <t xml:space="preserve">The average area for this FAC is 11,022 SF.
The Occupancy Group assigned is B, Business.
</t>
  </si>
  <si>
    <t xml:space="preserve">International Building Code (IBC) Group B
A fire sprinkler has been incorporated, applying the Fire Sprinkler Business Rule.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</si>
  <si>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For this FAC, 2 loading dock assemblies are provided.   
The guide specification for design of a loading dock is contained in the Unified Facilities Guide Specification (UFGS). 
The average number of floors is 1.35, yielding 0 elevators for the maximum number of occupants applying  the Elevator Business Rule.  
</t>
  </si>
  <si>
    <t>No overhead crane is provided, applying the Overhead Crane Business Rule.   A craneway is not included in the buidling's unit cost.</t>
  </si>
  <si>
    <t xml:space="preserve">No UFC criteria exist for component material </t>
  </si>
  <si>
    <t>UFC 3-101-01, "Architecture," 28 November 2011, with Change 3, 20 June 2016.
Commercial Real Estate Development Association, NAIOP Research Foundation, “NAIOP Terms and Definitions: North American Office and Industrial Market, pg. 12.
UFGS-11 13 19.13, August 2009
IBC, 2018 edition</t>
  </si>
  <si>
    <t>Propulsion RDT&amp;E Facility</t>
  </si>
  <si>
    <t>FAC                  Average  Size</t>
  </si>
  <si>
    <t>Laboratory  Buidling, Class A/B, Average, with complete HVAC (Deduct $2.42/SF for no included elevator)</t>
  </si>
  <si>
    <t>Bridge Crane, 10 Ton, 1 ea., Span = 50 ft</t>
  </si>
  <si>
    <t xml:space="preserve">LF to UM </t>
  </si>
  <si>
    <t>Craneway, 10 Ton, 130 LF x 2</t>
  </si>
  <si>
    <t>Overhead door roll-up, std. 9'x9' = 81 sf</t>
  </si>
  <si>
    <t>Dock bumpers, 10 lf, 1 sets</t>
  </si>
  <si>
    <t>Dock seal, 10 " projection</t>
  </si>
  <si>
    <t>Sprinkler, Wet System, 10,000 SF, Average</t>
  </si>
  <si>
    <t>Hazard occupancy sprinkler (add 15% to sprinkler cost)</t>
  </si>
  <si>
    <t>Note: "Section" refers to the A2257:L2265Marshall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</si>
  <si>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No UFC criteria exist for component material.  The reference to Marshall and Swift commercial and public utility/governmental utility buildings includes metal and masonry construction.  Selection of materials incorporated into the design must be consistent with the building use category  of UFC 1-200-01 , UFC 3-600-01  and the International Building Code (IBC).  The building use category is H, Hazardous.
</t>
  </si>
  <si>
    <t xml:space="preserve">The average area for this FAC is 9,903 SF.
The building use category is H, Hazardous.
</t>
  </si>
  <si>
    <t xml:space="preserve">UFC 1-200-01, and UFC 3-600-01 require compliance with the IBC.  
IBC Group H.
Fire suppression has been included in this Replacement Unit Cost, consistent with the Fire Sprinkler Business Rule.
</t>
  </si>
  <si>
    <t>No specific requirement for a loading dock is found in a Unified Facilities Criteria.  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  For this FAC, 1 loading dock assemblies is provided.   
The guide specification for design of a loading dock is contained in the Unified Facilities Guide Specification . 
No elevator has been is provided in consonance with the Elevator Business Rules.</t>
  </si>
  <si>
    <t>A bridge crane has been incorporated into the replacement unit cost in consonance with the Overhead Crane Business Rule.  A craneway is not included in the buidling's unit cost.</t>
  </si>
  <si>
    <t>Miscellaneous Item and Equipment RDT&amp;E Facility</t>
  </si>
  <si>
    <t>Industrial, Engineering (Research &amp; Development) Building, Class B, Average, including elevator (Deduct $2.42 for no included elevator)</t>
  </si>
  <si>
    <t>Bridge crane, 10 Ton, 50 FT span</t>
  </si>
  <si>
    <t>Craneway, 10 TON, 115 FT x 2 = 230 FT</t>
  </si>
  <si>
    <t>Dock bumpers, 10 lf, 1 ea.</t>
  </si>
  <si>
    <t>Dock leveler, hydraulic, 1 ea.</t>
  </si>
  <si>
    <t>Dock seal, 10" projection, 1 ea.</t>
  </si>
  <si>
    <t>Dock shelter, 1 ea.</t>
  </si>
  <si>
    <t xml:space="preserve">Unified Facilities Criteria (UFC) for Multi-Disciplinary and Facility Specific Design (UFC 3-101-01, Architecture; and UFC 4-300 (series), RDT&amp;E Facilities)  do not provide guidance for this FAC.   
</t>
  </si>
  <si>
    <t xml:space="preserve">No UFC criteria exist for component. material.  
Applying the Marshall and Swift  Selection Business Rule, the FAC is  Marshall &amp; Swift RDT&amp;E Building. Class B, Average Quality.
</t>
  </si>
  <si>
    <r>
      <rPr>
        <sz val="11"/>
        <color theme="1"/>
        <rFont val="Calibri"/>
        <family val="2"/>
        <scheme val="minor"/>
      </rPr>
      <t>The average area for this FAC is 8,120 SF.</t>
    </r>
    <r>
      <rPr>
        <sz val="11"/>
        <rFont val="Calibri"/>
        <family val="2"/>
        <scheme val="minor"/>
      </rPr>
      <t xml:space="preserve">
The Occupancy Group assigned is B, Business.
</t>
    </r>
  </si>
  <si>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</si>
  <si>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1.3 yielding 0 elevators for the maximum number of occupants, applying the Elevator Business Rule.  
</t>
  </si>
  <si>
    <t>One overhead crane is provided, applying the Overhead Crane Business Rule.  A craneway is not included in the building's unit cost.</t>
  </si>
  <si>
    <t xml:space="preserve"> UFC 3-101-01, "Architecture," 28 November 2011, with Change 3, 20 June 2016.
 Commercial Real Estate Development Association, NAIOP Research Foundation, “NAIOP Terms and Definitions: North American Office and Industrial Market," pg. 12.
 UFGS 11 13 19.13, "Loading Dock Levelers," August 2009
</t>
  </si>
  <si>
    <t>Underwater Equipment RDT&amp;E Facility</t>
  </si>
  <si>
    <t>Craneway, 10 Ton, 100 FT'x 2 = 200 FT</t>
  </si>
  <si>
    <t>Electrical conductor assembly</t>
  </si>
  <si>
    <t>Dock bumpers, 10 LF, 1EA</t>
  </si>
  <si>
    <t>Dock leveler, hydraulic, 1 EA</t>
  </si>
  <si>
    <t>Dock seal, 10" projection, 1 EA</t>
  </si>
  <si>
    <t>Dock shelter, 1 EA</t>
  </si>
  <si>
    <t xml:space="preserve">Unified Facilities Criteria (UFC) for Multi-Disciplinary and Facility Specific Design (UFC 3-101-01, Architecture; and UFC 4-300 (series), Research, Development, Test, &amp; Evaluation (RDT&amp;E Facilities)), do not provide guidance for this FAC.   
</t>
  </si>
  <si>
    <t xml:space="preserve">No UFC criteria exist for component material.  
Applying the Marshall and Swift Selection Business Rule, the FAC is MVG RDT&amp;E Building. Class B, Average Quality.
</t>
  </si>
  <si>
    <t xml:space="preserve">The average area for this FAC is 9,499 SF.
The Occupancy Group assigned is B, Business.
</t>
  </si>
  <si>
    <t xml:space="preserve">International Building Code Group B.  A  fire sprinkler has been incorporated.
</t>
  </si>
  <si>
    <t xml:space="preserve">No UFC requirement exists for the incorporation of a loading dock.  As general guidance, the Commercial Real Estate Development Association (NAIOP) provides an estimate of the average number of loading docks per square foot of industrial or warehouse averaging 1 dock per 7,500 sf of floor space .    For this FAC, 1 loading dock assemblies are provided.   
The guide specification for design of a loading dock is contained in the Unified Facilities Guide Specification. 
The average number of floors is 1.51 yielding 1 elevators for the maximum number of occupants applying the Elevator Business Rule. The Marshall and Swift RDT&amp;E building, type 392, Class B building includes an elevator in the basic square foot cost.
</t>
  </si>
  <si>
    <t>One overhead crane is provided, applying the Overhead Crane Business Rule.  A craneway is not included in the buidling's unit cost.</t>
  </si>
  <si>
    <t xml:space="preserve">UFC 3-101-01, "Architecture," 28 November 2011, with Change 3, 20 June 2016.
Commercial Real Estate Development Association, NAIOP Research Foundation, “NAIOP Terms and Definitions: North American Office and Industrial Market," pg. 12.
UFGS 11 13 19.13, "Loading Dock Levelers," August 2009
</t>
  </si>
  <si>
    <t>RDT&amp;E Range Building</t>
  </si>
  <si>
    <t>USACE PAX Newsletters 3.2.2</t>
  </si>
  <si>
    <t>After Action Review (AAR) Bldg. - Small (USACE PAX Newsletter 3.2.2, 06 April 2017)</t>
  </si>
  <si>
    <t>Mission Command Training Center (USACE PAX Newsletter 3.2.2, 30 May 2018)</t>
  </si>
  <si>
    <t>RDT&amp;E Range Facility</t>
  </si>
  <si>
    <t xml:space="preserve">USACE PAX Newsletters 3.2.2;                                                          Marshall and Swift Valuation, October 2017  
</t>
  </si>
  <si>
    <t>Underground Administrative Facility (USACE PAX Newsletter, 20 March 2009)</t>
  </si>
  <si>
    <t>Control Tower - open observation deck (USACE PAX Newsletter, 04 April 2017)</t>
  </si>
  <si>
    <t>FAC 1321</t>
  </si>
  <si>
    <t>Communications Facility (Marshall and Swift Valuation, October 2017)</t>
  </si>
  <si>
    <t>RDT&amp;E Range Complex</t>
  </si>
  <si>
    <t xml:space="preserve">USACE PAX Newsletter 3.2.2;                                                         Marshall and Swift Valuation, October 2017  
</t>
  </si>
  <si>
    <t>Combined ROC/AAR-Digital Range (USACE PAX Newsletter, 04 January 2011)</t>
  </si>
  <si>
    <t>Control Tower - open observation deck (USACE PAX Newsletter, 30 May 2018)</t>
  </si>
  <si>
    <t>8" Thick Reinforced Concrete Pavement, 4,500 PSI, 12-FT pass (USACE PAX Newsletter, 30 May 218)</t>
  </si>
  <si>
    <t>Communications Facility (Marshall and Swift / October 2017)</t>
  </si>
  <si>
    <t>RPAD Average Size from 2017 RPAD average facility dimensions (106 ' by 262'); 13 Asset Allocations.</t>
  </si>
  <si>
    <t>Propulsion Engine Test Cell</t>
  </si>
  <si>
    <t>USACE PAX Newsletter 3.2.2, 4 Jan 2011;                                             Navy Military Construction Program</t>
  </si>
  <si>
    <t>MILCON</t>
  </si>
  <si>
    <t>Engine Test Cell</t>
  </si>
  <si>
    <t>Military Cost Premium not multiplied as cost derived from MILCON</t>
  </si>
  <si>
    <t>Cost from MILCON project P-670, Construct Jet Engine Test Cell, MCAS New River, FY-08.
Area Cost Factor derived from USACE PAX Newsletter, 3.2.1 Area Cost Factors, 24 April 2018.</t>
  </si>
  <si>
    <t>Bulk Liquid Fuel Storage - 50,000 BL</t>
  </si>
  <si>
    <t>Earthwork, Vertical Above Ground Tank (AGT)</t>
  </si>
  <si>
    <t>Concrete, Vertical AGT</t>
  </si>
  <si>
    <t>Pipes And Fittings, Vertical AGT</t>
  </si>
  <si>
    <t>Electrical, Vertical AGT</t>
  </si>
  <si>
    <t>Controls, Vertical AGT</t>
  </si>
  <si>
    <t>G3060032505</t>
  </si>
  <si>
    <t>Cost per BL</t>
  </si>
  <si>
    <t>Bulk Liquid Fuel Storage - 80,000 BL</t>
  </si>
  <si>
    <t>G3060032506</t>
  </si>
  <si>
    <t>Tank, 9539200 L (80000 bbl), Vertical AGT</t>
  </si>
  <si>
    <t>Bulk Liquid Fuel Storage -150,000 BL</t>
  </si>
  <si>
    <t>G3060032508</t>
  </si>
  <si>
    <t>Tank, 1788600 L (150000 bbl), Vertical AGT</t>
  </si>
  <si>
    <t>% of Inventory in Original Study</t>
  </si>
  <si>
    <t>80,000 BL Unit Cost RUC</t>
  </si>
  <si>
    <t>Cut-and-Cover Bulk Liquid Fuel Storage</t>
  </si>
  <si>
    <t>G3060032007</t>
  </si>
  <si>
    <t>Earthwork, Cut And Covered Tank</t>
  </si>
  <si>
    <t>G3060032107</t>
  </si>
  <si>
    <t>Concrete, Cut And Covered Tank</t>
  </si>
  <si>
    <t>G3060032207</t>
  </si>
  <si>
    <t>Pipes And Fittings, Cut And Covered Tank</t>
  </si>
  <si>
    <t>G3060032307</t>
  </si>
  <si>
    <t>Electrical, Cut And Covered Tank</t>
  </si>
  <si>
    <t>G3060032407</t>
  </si>
  <si>
    <t>Controls, Cut And Covered Tank</t>
  </si>
  <si>
    <t>G3060032583</t>
  </si>
  <si>
    <t>Tank, 7948000 L (50000 bbl) Cut And Cover</t>
  </si>
  <si>
    <t>Small Bulk Storage</t>
  </si>
  <si>
    <t>61/6</t>
  </si>
  <si>
    <t>Above Ground Fuel Storage, 1000 GA, double wall</t>
  </si>
  <si>
    <t>EA to GA</t>
  </si>
  <si>
    <t xml:space="preserve">Horizontal Bulk Storage, 1,500 GA </t>
  </si>
  <si>
    <t>Backfill and Compaction, confined area , medium earth</t>
  </si>
  <si>
    <t>CY to GA</t>
  </si>
  <si>
    <t>Water Well, w/o pump, 130' deep, 5" casing   assume 2 monitoring wells</t>
  </si>
  <si>
    <t>FT to GA</t>
  </si>
  <si>
    <t xml:space="preserve">Geotextile Fabric </t>
  </si>
  <si>
    <t>SY to GA</t>
  </si>
  <si>
    <t>Containment berm assume 60' x 6' x 8' = 2,880 CF = 106.7 CY; for Geotextile fabric area:  1,320 SF = 146.7 SY</t>
  </si>
  <si>
    <t>Bulk Liquid Storage, Other Than Fuel</t>
  </si>
  <si>
    <t>USACE PAX Newsletter 3.2.2, 04 Jan 2011</t>
  </si>
  <si>
    <t>Liquid Fuel Storage Tank - Bulk AGST</t>
  </si>
  <si>
    <t>GA/BL</t>
  </si>
  <si>
    <t>PAX Unit Cost in Barrels (42 GA per BL)</t>
  </si>
  <si>
    <t>Ammunition Storage, Depot and Arsenal</t>
  </si>
  <si>
    <t>Hi Explosive Magazine w/Crane</t>
  </si>
  <si>
    <t>Intercontinental Ballistic Missile Storage Facility</t>
  </si>
  <si>
    <t>Industrials, Heavy (Process) Manufacturing, Class A, Average, including elevator (Deduct $2.29/SF for no included elevator)</t>
  </si>
  <si>
    <t>Bridge Crane, 10 Ton, Span = 50 FT</t>
  </si>
  <si>
    <t>Craneway, 10 Ton, 60 LF x 2 = 120 LF</t>
  </si>
  <si>
    <t>Sprinkler, Dry System, 2,500 SF, Average</t>
  </si>
  <si>
    <t>Crane bay assumed dimension = 50' x 60'</t>
  </si>
  <si>
    <t>Average Floors above ground for FAC 4212 is 1, based on 171 records in the 2017 RPAD.</t>
  </si>
  <si>
    <t>Ammunition Storage, Installation</t>
  </si>
  <si>
    <t>General Purpose Magazine w/o Crane</t>
  </si>
  <si>
    <t>Ammunition Storage Shed, Installation</t>
  </si>
  <si>
    <t>Storage Shed (Covered, not Enclosed)</t>
  </si>
  <si>
    <t>Liquid Propellant Storage, Ammunition Related</t>
  </si>
  <si>
    <t>GA Conversion</t>
  </si>
  <si>
    <t>Battery Storage, Weapon Related</t>
  </si>
  <si>
    <t>USACE PAX Newsletter 3.2.2, 20 March 2009</t>
  </si>
  <si>
    <t>Battery Shop</t>
  </si>
  <si>
    <t>Cold Storage Warehouse, w/o Processing</t>
  </si>
  <si>
    <t>Open Ammunition Storage</t>
  </si>
  <si>
    <t>Aggregate (rock) Base, 4", per SF</t>
  </si>
  <si>
    <t>SF / SY</t>
  </si>
  <si>
    <t>Paving, 4" Asphaltic Concrete, per SF</t>
  </si>
  <si>
    <t>Paving, 6" Concrete, per SF</t>
  </si>
  <si>
    <t>Average Asphalt and Concrete</t>
  </si>
  <si>
    <t xml:space="preserve">Unified Facilities Criteria (UFC) for Multi-Disciplinary and Facility Specific Design (3-500 Electrical, 4-200 Maintenance and Production Facilities, and 4-800 Utilities and Ground Improvements Series) is not provided for this type of facility.  
FAC 4251 aggregates 5 category codes – 1 Air Force, 1 Army and 3 Navy; Navy category codes include a container holding yard (empty) and a barricaded module.
</t>
  </si>
  <si>
    <t xml:space="preserve">No UFC criteria exist for component material.  The calculation using Marshall and Swift averages asphalt and concrete paved storage areas. </t>
  </si>
  <si>
    <t xml:space="preserve">The average area for this FAC is 1,814 SY based on 1,720 records.  
</t>
  </si>
  <si>
    <t xml:space="preserve">UFC 3-600-01 states this type of facility must be located (“sited”) in accordance with DoD 6055.09-M, but that sprinklers and hydrant protection are not required for ammunition/explosive storage facilities.
</t>
  </si>
  <si>
    <t xml:space="preserve">No UFC requirement exists for the incorporation of a loading dock.
No elevator is provided in consonance with the Elevator Business Rules.
</t>
  </si>
  <si>
    <t>No UFC criteria exist for component material.  The reference to Marshall and Swift commercial and governmental utility buildings includes metal and masonry construction.</t>
  </si>
  <si>
    <t xml:space="preserve">• M&amp;S Selection Business Rule
• Overhead Crane Business Rule
• MILCON Cost Premium Business Rule
</t>
  </si>
  <si>
    <t xml:space="preserve">UFC 3-600-01, "Fire Protection Engineering for Facilities," 08 August 2016 with Change 2, 25 March 2018     </t>
  </si>
  <si>
    <t>Cold Storage, Depot</t>
  </si>
  <si>
    <t>14/24</t>
  </si>
  <si>
    <t>Cold Storage Facility, Class A/B, Average</t>
  </si>
  <si>
    <t>Complete HVAC, Sharp Freeze, Extreme Climate</t>
  </si>
  <si>
    <t>Sprinkler, dry, 60,000 SF, average</t>
  </si>
  <si>
    <t>Cold Storage, Installation</t>
  </si>
  <si>
    <t>Complete HVAC, Chiller/Freezer, Moderate Climate</t>
  </si>
  <si>
    <t>Sprinkler, dry, 40,000 SF, average</t>
  </si>
  <si>
    <t>Covered Storage Building, Depot</t>
  </si>
  <si>
    <t>Warehouse/Storage Facilities: Storage Building - Large (&gt; 15,000 SF), High Bay (Stack Height &gt; 16 FT)</t>
  </si>
  <si>
    <t>Covered Storage Shed, Depot</t>
  </si>
  <si>
    <t>Hazardous Materials Storage, Depot</t>
  </si>
  <si>
    <t>Warehouse/Storage Facilities:  Hazardous / Flammable Storage, &gt; 1,000 SF</t>
  </si>
  <si>
    <t>Controlled Humidity Storage, Depot</t>
  </si>
  <si>
    <t>Marshall &amp; Swift Valuation, 30 October 2017</t>
  </si>
  <si>
    <t>Cold Storage Facility, Class A/B, Average, Complete HVAC</t>
  </si>
  <si>
    <t>Overhead door, roll-up, standard, 9'x9' doors @ 81 SF, 13 each</t>
  </si>
  <si>
    <t>SF total</t>
  </si>
  <si>
    <t>Dock bumper, horizontal, 10 FT length each door</t>
  </si>
  <si>
    <t>Dock seal, 10- inch projection</t>
  </si>
  <si>
    <t>Sprinkler, Dry System, 125,000 SF, Average</t>
  </si>
  <si>
    <t xml:space="preserve">Unified Facilities Criteria (UFC) 4-440-01, "Warehouse and Storage Facilities,"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</si>
  <si>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This is consistent with the type of building selected using the M&amp;S Business Rule, the FAC is MVG Class B, Average Quality.  
</t>
  </si>
  <si>
    <t xml:space="preserve">The average area of this FAC is 126,985 SF, based on 377 records in the 2017 RPAD.
The International Building Code (IBC) Occupancy Group assigned is B, Business.
</t>
  </si>
  <si>
    <t xml:space="preserve">IBC Group B
UFC 4-440-01 requires compliance with the National Fire Protection Association (NFPA) 13  and UFC 3-600-01 .  UFC 3-600-01 refers the designer to the IBC.  The Fire Sprinkler Business Rule incorporates the requirements of NFPA, UFC 3-600-01 and the IBC.  Application of the Fire Sprinkler Business Rule requires a sprinkler system to be installed in this type of facility.
</t>
  </si>
  <si>
    <r>
      <t xml:space="preserve">Unified Facilities Criteria (UFC) 4-440-01 sets a requirement for loading docks.  The number of truck docks is calculated by a consideration of number of trucks arriving and loading/unloading time for the specific design. </t>
    </r>
    <r>
      <rPr>
        <sz val="11"/>
        <color theme="1"/>
        <rFont val="Calibri"/>
        <family val="2"/>
        <scheme val="minor"/>
      </rPr>
      <t>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t>
    </r>
    <r>
      <rPr>
        <i/>
        <sz val="11"/>
        <color rgb="FFFF0000"/>
        <rFont val="Calibri"/>
        <family val="2"/>
        <scheme val="minor"/>
      </rPr>
      <t xml:space="preserve"> </t>
    </r>
    <r>
      <rPr>
        <sz val="11"/>
        <rFont val="Calibri"/>
        <family val="2"/>
        <scheme val="minor"/>
      </rPr>
      <t xml:space="preserve">For this FAC, 13 loading dock assemblies are provided.  An elevator is not provided as the average number of floors is 1.07; applying the Elevator Business Rule, no elevator is incorporated.   Unified Facilities Guide Specification (UFGS) 11 13 19.13, Loading Dock Levelers, applies.
</t>
    </r>
  </si>
  <si>
    <t xml:space="preserve">UFC 4-440-01 provides the criteria for component material.
</t>
  </si>
  <si>
    <t>UFC 4-440-01, "Warehouse and Storage Facilities," 01 October 2014.                                                                                                                                                                                                                            NFPA 13, "Standard for the Installation of Fire Sprinkler Systems," 2016 Edition.
UFC 3-600-01 "Fire Protection Engineering for Facilities," 08 August 2016, with Change 2, 25 March 2018
Commercial Real Estate Development Association, NAIOP Research Foundation, “NAIOP Terms and Definitions: North American Office and Industrial Market."                                              IBC, 2018 edition</t>
  </si>
  <si>
    <t>Covered Storage Building, Installation</t>
  </si>
  <si>
    <t>Warehouse/Storage Facilities: General Purpose - Small (&lt; 15,000 SF), Low Bay (Stack Height &lt; 16 FT)</t>
  </si>
  <si>
    <t>Covered Storage Shed, Installation</t>
  </si>
  <si>
    <t>Storage Shed (Covered, not Enclosed), ORTC</t>
  </si>
  <si>
    <t>Hazardous Materials Storage, Installation</t>
  </si>
  <si>
    <t>Hazardous Material Storage Building - Tactical Equipment Maintenance Facility (TEMF)</t>
  </si>
  <si>
    <t>(Use same unit cost as CATCODE 21470, POL Storage Building, Vehicle Maintenance Shop)</t>
  </si>
  <si>
    <t>Per UM</t>
  </si>
  <si>
    <t>No. of Docks or SF door</t>
  </si>
  <si>
    <t>Overhead door, roll-up, standard 9 FT x 9 FT' door, 6 EA @ 81 SF</t>
  </si>
  <si>
    <t>per SF-door</t>
  </si>
  <si>
    <t>Overhead door, electric operator</t>
  </si>
  <si>
    <t>Dock seal, 10-inch projection</t>
  </si>
  <si>
    <t>Sprinkler, Dry System, 60,000K SF, Average</t>
  </si>
  <si>
    <t xml:space="preserve">Unified Facilities Criteria (UFC) 4-440-01, Warehouse and Storage Facilities , provides general guidance for this FAC. </t>
  </si>
  <si>
    <t xml:space="preserve">UFC 4-440-01 states a controlled humidity warehouse is similar to a general purpose warehouse except that it is designed with enhanced features for humidity control. 
UFC 4-440-01 allows the use of insulated metal siding, brink or concrete masonry, or tilt-up precast or cast in place concrete panels .   
This is consistent with the type of building selected using the Marshall &amp; Swift Business Rule, the FAC is MVG Class B, Average Quality.  
</t>
  </si>
  <si>
    <t xml:space="preserve">The average area of this FAC is 56,152 SF, based on 463 records in the 2017 RPAD.
The International Building Code (IBC) Occupancy Group assigned is B, Business.
</t>
  </si>
  <si>
    <t xml:space="preserve">IBC Code Group B.
UFC 4-440-01 requires compliance with the NFPA 13  and UFC 3-600-01.  UFC 3-600-01 refers the designer to the IBC.  The Fire Sprinkler Business Rule incorporates the requirements of NFPA, UFC 3-600-01 and the IBC. Application of the Fire Sprinkler Business Rule requires a sprinkler system to be installed in this type of facility.
</t>
  </si>
  <si>
    <t xml:space="preserve">UFC 4-440-01 sets a requirement for loading docks.   A reasonable assumption is to include a loading dock based upon the function of this FAC.  The number of truck docks is calculated by a consideration of number of trucks arriving and loading/unloading time for the specific design.  Although the number of truck docks is calculated by a consideration of number of trucks arriving and loading/unloading time, the Commercial Real Estate Development Association (NAIOP)  provides an estimate of the average number of loading docks per square foot of warehouse space: 1:10,000.  For this FAC, 6 loading dock assemblies are provided.  An elevator is not provided as the average number of floors is 1.02; applying the Elevator Business Rule, no elevator is incorporated. 
</t>
  </si>
  <si>
    <t>Vehicle Storage, Covered</t>
  </si>
  <si>
    <t>14/34</t>
  </si>
  <si>
    <t>Storage Garage, Class A-B, Average</t>
  </si>
  <si>
    <t>Class B Facility selected for M&amp;S current cost and local multipliers</t>
  </si>
  <si>
    <t>Storage Silo, Loose Material</t>
  </si>
  <si>
    <t>17/16</t>
  </si>
  <si>
    <t>Material Storage Building, Class S, Average</t>
  </si>
  <si>
    <t>Small Arms Storage, Installation</t>
  </si>
  <si>
    <t>Table 2, UFC 3-701-1 as of April 2017</t>
  </si>
  <si>
    <t>Armory / Weapons Storage Facility</t>
  </si>
  <si>
    <t>Storage and Customer Issue</t>
  </si>
  <si>
    <t>13/28</t>
  </si>
  <si>
    <t>Discount Store, Class A-B, Average</t>
  </si>
  <si>
    <t>13/40</t>
  </si>
  <si>
    <t>Sprinkler, Wet System, 15,000 SF, Average</t>
  </si>
  <si>
    <t>Open Storage, Depot</t>
  </si>
  <si>
    <t>Average Asphalt and Concrete Unit Costs</t>
  </si>
  <si>
    <t>Open Storage, Installation</t>
  </si>
  <si>
    <t>Hospital</t>
  </si>
  <si>
    <t>Inpatient Hospital/Medical Center</t>
  </si>
  <si>
    <t>Medical Laboratory</t>
  </si>
  <si>
    <t>Laboratory Building, Class B, Average, including elevators</t>
  </si>
  <si>
    <t>Overhead door, roll-up, standard, 9'x9' doors @ 81 SF, 1 each</t>
  </si>
  <si>
    <t xml:space="preserve">Unified Facilities Criteria (UFC) for Multi-Disciplinary and Facility Specific Design (4 Series) is not provided for this type of facility.  The only UFC in the 4-300 Series for Research, Development, Test and Evaluation (RDT&amp;E) facilities is 4-390-01, “O&amp;M: Unmanned Pressure Test Facilities Safety Certification Manual.”
</t>
  </si>
  <si>
    <t xml:space="preserve">No UFC criteria exist for component material.  The reference to MVG commercial and public utility/governmental utility buildings includes metal and masonry construction.  Selection of materials incorporated into the design must be consistent with the building use category  of UFC 1-200-01 , UFC 3-600-01  and the International Building Code (IBC).  
</t>
  </si>
  <si>
    <t xml:space="preserve">The average area for this FAC is 10,937 SF.  
IBC Business Group B
</t>
  </si>
  <si>
    <t xml:space="preserve">No UFC requirement exists for the incorporation of a loading dock
An elevator is provided in consonance with the Elevator Business Rules.  The type of Marshall and Swift building selected, Laboratory Building, Class B Average, includes elevators as part of the basic building valuation.
</t>
  </si>
  <si>
    <t>No UFC requirement exists for the incorporation of overhead cranes.  A craneway is not included in the building's unit cost.</t>
  </si>
  <si>
    <t xml:space="preserve">UFC 1-200-01, “DoD Building Code (General Building Requirements),” 20 June 2016, with Change 1, 01 February 2018
UFC 3-600-01, "Fire Protection Engineering for Facilities," 08 August 2016 with Change 2, 25 March 2018
IBC, 2018 edition
</t>
  </si>
  <si>
    <t>Morgue</t>
  </si>
  <si>
    <t>11/32</t>
  </si>
  <si>
    <t>Mortuary/Funeral Home, Class B, Average</t>
  </si>
  <si>
    <t>11/35</t>
  </si>
  <si>
    <t>Sprinkler, Wet System, 5,000 SF, Average</t>
  </si>
  <si>
    <t>Veterinary Facility</t>
  </si>
  <si>
    <t>15/28</t>
  </si>
  <si>
    <t>Veterinary Hospital, Class B, Average, including elevator (Deducedt $3.99/SF for no inlcuded elevator)</t>
  </si>
  <si>
    <t>Average number of floors above ground is 1.13, based on 2017 RPAD.</t>
  </si>
  <si>
    <t>Medical Warehouse</t>
  </si>
  <si>
    <t>Cold Storage Facility, Class B, Average</t>
  </si>
  <si>
    <t>HVAC, for Controlled Atmosphere Buildings, Moderate Climate</t>
  </si>
  <si>
    <t>Sprinkler, Dry System, 20,000 SF, Average</t>
  </si>
  <si>
    <t>Average number of floors above ground = 1.13</t>
  </si>
  <si>
    <t>Ambulance Shelter</t>
  </si>
  <si>
    <t>Storage Garage, Class B, Average</t>
  </si>
  <si>
    <t>Dental Facility</t>
  </si>
  <si>
    <t>Dental Clinic</t>
  </si>
  <si>
    <t>Dispensary And Clinic</t>
  </si>
  <si>
    <t xml:space="preserve">Table 2, UFC 3-701-1, 12 April 2017  
</t>
  </si>
  <si>
    <t>Medical Clinic (Small, Free Standing &lt;60,000 SF)</t>
  </si>
  <si>
    <t>Ambulatory Care Clinic</t>
  </si>
  <si>
    <t>Medical Clinic (Large, Free Standing &gt;60,000 SF)</t>
  </si>
  <si>
    <t>General Administrative Building</t>
  </si>
  <si>
    <t>Administrative Facilities: Multi-Purpose Admin</t>
  </si>
  <si>
    <t>Small Unit Headquarters Building</t>
  </si>
  <si>
    <t>Headquarters/Operations Buildings: Company Level (Lowest Level)</t>
  </si>
  <si>
    <t>NA;  GUCs are as of                      October, 2017</t>
  </si>
  <si>
    <t>Large Unit Headquarters Building</t>
  </si>
  <si>
    <t>Headquarters/Operations Buildings: Brigade/Division/Wing HQs (Upper Level)</t>
  </si>
  <si>
    <t>Printing And Reproduction Plant</t>
  </si>
  <si>
    <t>Industrial, Light Manufacturing, Class B, Average</t>
  </si>
  <si>
    <t>Automated Data Processing Center</t>
  </si>
  <si>
    <t>Table 2, UFC 3-701-1, Change 10, May 2016</t>
  </si>
  <si>
    <t>Admin Facilities, Data Processing Area Facility (Includes Admin and Storage)</t>
  </si>
  <si>
    <r>
      <rPr>
        <sz val="11"/>
        <color theme="1"/>
        <rFont val="Calibri"/>
        <family val="2"/>
        <scheme val="minor"/>
      </rPr>
      <t>Facilities Pricing Guide,</t>
    </r>
    <r>
      <rPr>
        <sz val="11"/>
        <color theme="0"/>
        <rFont val="Calibri"/>
        <family val="2"/>
        <scheme val="minor"/>
      </rPr>
      <t xml:space="preserve"> </t>
    </r>
    <r>
      <rPr>
        <sz val="11"/>
        <rFont val="Calibri"/>
        <family val="2"/>
        <scheme val="minor"/>
      </rPr>
      <t>Change 10, GUCs are as of October 2015</t>
    </r>
  </si>
  <si>
    <t>Remote Delivery Facility</t>
  </si>
  <si>
    <t>Ammunition Surveillance Shop</t>
  </si>
  <si>
    <t>Administrative Structure, Underground</t>
  </si>
  <si>
    <t>Underground Administrative Facility</t>
  </si>
  <si>
    <t>Alternate Joint Communications Center</t>
  </si>
  <si>
    <t>Administrative Structure, Other Than Buildings</t>
  </si>
  <si>
    <t>Flagpole, 50', Tapered Aluminum, Concrete Foundation</t>
  </si>
  <si>
    <t>66/5</t>
  </si>
  <si>
    <t>Scoreboard, Outdoor, 75 SF</t>
  </si>
  <si>
    <t>Family Housing Dwelling</t>
  </si>
  <si>
    <t>General Officer, Grade O7 - O8</t>
  </si>
  <si>
    <t>Colonel/Captain, Grade O6</t>
  </si>
  <si>
    <t xml:space="preserve">Lt Colonel &amp; Major, Grade O4 &amp; O5 / Warrant Officer, Grade W4 &amp; W5, 4 Bedrooms </t>
  </si>
  <si>
    <t>CO Grade, Officer, O1-O3; Warrant Officer, Grade W1 - W3, 4 Bedrooms</t>
  </si>
  <si>
    <t>Senior NCO, Grade E9, 4 Bedrooms</t>
  </si>
  <si>
    <t>Senior NCO, Grade E7&amp;E8, 4 Bedrooms</t>
  </si>
  <si>
    <t>Junior NCO/Enlisted, Grade E1 - E6, 4 Bedrooms</t>
  </si>
  <si>
    <t>Family Housing Trailer/Relocatable</t>
  </si>
  <si>
    <t>63/8</t>
  </si>
  <si>
    <t>Manufactured home, Average, 14 x 28</t>
  </si>
  <si>
    <t>Family Housing Individual Trailer Site</t>
  </si>
  <si>
    <t>63/3</t>
  </si>
  <si>
    <t>Manufactured Housing Park, Average, including utilities, grading, engineering</t>
  </si>
  <si>
    <t>EA to SY</t>
  </si>
  <si>
    <t>M&amp;S Design size for a Manufactured Housing Park site = 3,200 SF = 356 SY</t>
  </si>
  <si>
    <t>Family Housing Garage</t>
  </si>
  <si>
    <t>12/35</t>
  </si>
  <si>
    <t>Residential Garage, Detached, 600 SF, Class C, Average</t>
  </si>
  <si>
    <t>Family Housing Storage Facility</t>
  </si>
  <si>
    <t>63/10</t>
  </si>
  <si>
    <t>Storage Shed Building, Aluminum</t>
  </si>
  <si>
    <t>Concrete Slab, unreinforced</t>
  </si>
  <si>
    <t xml:space="preserve"> </t>
  </si>
  <si>
    <t>Miscellaneous Family Housing Support Facility</t>
  </si>
  <si>
    <t>17/12</t>
  </si>
  <si>
    <t>Light Commercial Utility Building, Class C, Average</t>
  </si>
  <si>
    <t>Sprinkler, 2500 SF, Wet System, Average</t>
  </si>
  <si>
    <t>Trailer Court Support Facility</t>
  </si>
  <si>
    <t>15/17</t>
  </si>
  <si>
    <t>Office Building, Class C, Average</t>
  </si>
  <si>
    <t>Sprinkler, 3000 SF, Wet System, Average</t>
  </si>
  <si>
    <t>Family Housing Carport</t>
  </si>
  <si>
    <t>Carport, Steel</t>
  </si>
  <si>
    <t>Concrete Slab foundation, 200 SF</t>
  </si>
  <si>
    <t>Enlisted Unaccompanied Personnel Housing</t>
  </si>
  <si>
    <t>Unaccompanied Personnel Housing: Barracks/Dormitory (does not include kitchenette equipment)</t>
  </si>
  <si>
    <t>Enlisted Unaccompanied Personnel Housing, Transient</t>
  </si>
  <si>
    <t>Student Barracks</t>
  </si>
  <si>
    <t xml:space="preserve">Unaccompanied Personnel Housing: Barracks - Student Dorms, Advance Training </t>
  </si>
  <si>
    <t>Annual Training/Mobilization Barracks</t>
  </si>
  <si>
    <t>Unaccompanied Housing for Wounded Warriors</t>
  </si>
  <si>
    <t>15/26</t>
  </si>
  <si>
    <t>Convalescent Hospital, Class C, Average, without Elevators</t>
  </si>
  <si>
    <t>Sprinkler, Wet System, average, 50,000 SF</t>
  </si>
  <si>
    <t>Elevator, passenger, 2-3 story</t>
  </si>
  <si>
    <t>Overhead door, roll-up, 81 SF/door (9' X 9'), 2 each</t>
  </si>
  <si>
    <t>Overhead door electrical operator</t>
  </si>
  <si>
    <t>Dock leveler, hydraulic ram, single post</t>
  </si>
  <si>
    <t xml:space="preserve">Unified Facilities Criteria (UFC) for Multi-Disciplinary and Facility Specific Design (4 Series) is not provided for this type of facility.  
UFC 4-510-01, "Design: Military Medical Facilities," does not include guidance for Wounded Warrior housing.
</t>
  </si>
  <si>
    <t xml:space="preserve">No UFC criteria exist for component material.  
</t>
  </si>
  <si>
    <t xml:space="preserve">The average area for this FAC is 35,064 SF.  
Classified as International Building Code (IBC) Group I (Institutional)
</t>
  </si>
  <si>
    <t xml:space="preserve">UFC 3-600-01 requires compliance with National Fire Protection Association (NFPA) 101 for institutional occupancies.  NFPA 101  requires new I-1  (Institutional occupancies), in which the FAC 7215 is categorized, to be fully sprinklered throughout.   This same requirement exists in the IBC, Section 903.2.6  governing Occupancy Group I (institutional).   
</t>
  </si>
  <si>
    <t xml:space="preserve">Three (3) elevators have been included in consonance with the Elevator Business Rule.
UFC 3-101-01 provides a limited reference to a loading dock as a space to be compartmentalized for fire and smoke control.  
UFC 4-510-01  refers to truck loading docks for fire protection, environmental controls, and lighting levels, but does not provide specific design guidance on the number to be provided.  Although no specific requirement exists, the numerous references in the related UFC 4-510-01 provide a basis for the incorporation of a minimum number of loading docks in the Replacement Unit Cost estimate. 
</t>
  </si>
  <si>
    <t xml:space="preserve">No UFC criteria exist for component material.   </t>
  </si>
  <si>
    <t>Recruit/Trainee Barracks</t>
  </si>
  <si>
    <t xml:space="preserve">Table 2, UFC 3-701-1, Change 13, July 2017 </t>
  </si>
  <si>
    <t>Unaccompanied Personnel Housing: Barracks - Open Bay, Training</t>
  </si>
  <si>
    <t>Dining Facility</t>
  </si>
  <si>
    <t>Dining Facility, Enlisted Dining, 15,000 SF - 39,999 SF (includes kitchen equipment and installation)</t>
  </si>
  <si>
    <t>Miscellaneous UPH Support Building</t>
  </si>
  <si>
    <t>13/25</t>
  </si>
  <si>
    <t>Laundromat, Class C, Average</t>
  </si>
  <si>
    <t>11/14</t>
  </si>
  <si>
    <t>Dormitory, Class C, Average</t>
  </si>
  <si>
    <t>Average Unit cost</t>
  </si>
  <si>
    <t>Sprinkler, Wet System, Average, 3,000 SF</t>
  </si>
  <si>
    <t xml:space="preserve">FAC 7231 aggregates four (4) category codes for detached laundry and recreational/entertainment purposes (such as a dayroom/lounge).
Unified Facilities Criteria (UFC) 4-720-01 “Lodging Facilities," provides limited design criteria for guest laundry design features located within Table 5-23 of the UFC.
</t>
  </si>
  <si>
    <t xml:space="preserve">UFC 4-720-01 calls for epoxy painted gypsum board interior walls with tile floors and moisture resistant, acoustic ceiling tile.  
</t>
  </si>
  <si>
    <t xml:space="preserve">The average area for this FAC is 2,949 SF. 
International Building Code Occupancy Group B (Business) 
</t>
  </si>
  <si>
    <t xml:space="preserve">UFC 4-720-01 requires fire protection in the guest laundry of lodging facilities. </t>
  </si>
  <si>
    <t>No UFC requirement exists for the incorporation of a loading dock
No elevator is provided in consonance with the Elevator Business Rules.</t>
  </si>
  <si>
    <t xml:space="preserve">No UFC requirement exists for the incorporation of overhead cranes.
</t>
  </si>
  <si>
    <t xml:space="preserve">No UFC criteria exist for component material.  The reference to Marshall and Swift laundromats includes brick, block (CMU), or tilt-up concrete panel construction.
</t>
  </si>
  <si>
    <t xml:space="preserve">UFC 4-720-01,"Lodging Facilities," 13 February 2012.
</t>
  </si>
  <si>
    <t>Unaccompanied Personnel Housing Garage</t>
  </si>
  <si>
    <t>Parking Garage</t>
  </si>
  <si>
    <t>Dining Support Facility</t>
  </si>
  <si>
    <t>13/15</t>
  </si>
  <si>
    <t>Restaurants/Cafeterias, Class C, Average</t>
  </si>
  <si>
    <t>Latrine/Shower Facility</t>
  </si>
  <si>
    <t>Shower Room Building, Class C, Average</t>
  </si>
  <si>
    <t>Sprinkler, 3,000 SF, Wet System, Average</t>
  </si>
  <si>
    <t>Miscellaneous UPH Support Facility</t>
  </si>
  <si>
    <t>64/4</t>
  </si>
  <si>
    <t>Car Wash Canopy, Class CDS, Average</t>
  </si>
  <si>
    <t>Assumed Size 16ft x 8 ft</t>
  </si>
  <si>
    <t>Officer Unaccompanied Personnel Housing</t>
  </si>
  <si>
    <t>UPH, Officers Quarters</t>
  </si>
  <si>
    <t>Officer UPH, Transient</t>
  </si>
  <si>
    <t>Service Academy Unaccompanied Personnel Housing</t>
  </si>
  <si>
    <t>Dormitory, Class C, Good - includes elevators</t>
  </si>
  <si>
    <t>Sprinkler, Wet System, 75,000 SF, Good</t>
  </si>
  <si>
    <t>Emergency Unaccompanied Personnel Housing</t>
  </si>
  <si>
    <t>12/16</t>
  </si>
  <si>
    <t>Multiple Residence, Class C, Average</t>
  </si>
  <si>
    <t>12/39</t>
  </si>
  <si>
    <t>Sprinkler, 1,500 SF, Wet System, Average</t>
  </si>
  <si>
    <t>EUPH Tent Pad</t>
  </si>
  <si>
    <t>USACE PAX Newsletter 3.2.2, 23 May 2018</t>
  </si>
  <si>
    <t xml:space="preserve">Inflation Adjustment                        by MILCON Index 
</t>
  </si>
  <si>
    <t>Rough Grading, Dumped Material Spread by Dozer, No Compaction</t>
  </si>
  <si>
    <t>SF/SY</t>
  </si>
  <si>
    <t>Fine Grading, Granular Subbase for Paving, Compaction, 3 Passes with Doze, 6" Lifts</t>
  </si>
  <si>
    <t>1-1/2" Crushed Stone Base to 6" Deep</t>
  </si>
  <si>
    <t>8" Thick, Unreinforced Concrete Pavement, 4,500 PSI</t>
  </si>
  <si>
    <t>Fire Station Facility</t>
  </si>
  <si>
    <t>Airfield Fire/Crash Rescue Station</t>
  </si>
  <si>
    <t>Prison/Confinement Facility</t>
  </si>
  <si>
    <t>Correctional Facility, Class C, Average; does not include elevator</t>
  </si>
  <si>
    <t>Overhead door, Rollup, Manual Operation, 81 sf/door</t>
  </si>
  <si>
    <t>per SF</t>
  </si>
  <si>
    <t>Overhead door, Electric operation</t>
  </si>
  <si>
    <t>Dock bumper, Horizontal, per LF, 10 LF/door</t>
  </si>
  <si>
    <t>per LF</t>
  </si>
  <si>
    <t>Dock leveler, Hydraulic</t>
  </si>
  <si>
    <t xml:space="preserve">• Naval Corrections Manual requires compliance with American Corrections Association (ACA) "Planning and Design Guide for Secure and Adult and Juvenile Facilities."
• Army Regulation (AR) 190-47, “The Army Corrections System,” states design should strive to meet ACA standards.  
• Facilities Criteria (FC) 4-721-02F, “Air Force Level 1 Confinement Facility,” requires the superstructure to be concrete masonry units, fully grouted, with concrete roof. 
</t>
  </si>
  <si>
    <t xml:space="preserve">• ACA Planning and Design Guide states walls are typically either concrete or masonry.  Standard steel reinforcing used with pre-cast or cast in place concrete is sufficient .
• FC 4-721-02F requires the superstructure to be concrete masonry units, fully grouted, with concrete roof. 
</t>
  </si>
  <si>
    <t xml:space="preserve">The average area for this FAC is 15,014 SF.  
This type of facility is classified by International Building Code (IBC) as Group I-3, Institutional Prisons, Jails, Detention Centers, etc.
</t>
  </si>
  <si>
    <t xml:space="preserve">Unified Facilities Criteria (UFC) 3-600-01, Fire Protection Engineering for Facilities, requires compliance with National Fire Protection Association (NFPA) 101 for institutional (Group I-3) occupancies.  NFPA 101 requires new I-3 facilities, in which this FAC is categorized, to be have sprinklers throughout.   This same requirement exists in the IBC, Section 907.2.6  governing Occupancy Group I-3 (Institutional).   
</t>
  </si>
  <si>
    <t xml:space="preserve">No elevators have been included in consonance with the Elevator Business Rule.  The average number of stories for this FAC is 1.20.
The ACA Design Guide identifies the incorporation of a truck loading dock for use by the maintenance department, for supplies deliveries and sanitation (laundry) .
</t>
  </si>
  <si>
    <t xml:space="preserve">The ACA Design Guide provides broad guidance for exterior and interior materials .   </t>
  </si>
  <si>
    <t xml:space="preserve">BUPERSINST 1640.22, "Naval Corrections Manual," Article 1640-020,“Physical Plant and Major Equipment,” 29 March 2011.
ACA, "Planning and Design Guide for Secure Adult and Juvenile Facilities, August 1, 1999.
AR 190-47, “The Army Corrections System”, Section 9-4, pg 28, of 15 June 2006.
FC 4-721-02F Air Force Level I Confinement Facility of 1 April 2015. 
UFC 3-600-01, "Fire Protection Engineering for Facilities," August 2016 with Change 2, 25 March 2018.
IBC, 2018 Edition. 
</t>
  </si>
  <si>
    <t>Police Station</t>
  </si>
  <si>
    <t>Police Station, Class C, Average, without elevator</t>
  </si>
  <si>
    <t xml:space="preserve">No UFC criteria exist for component material.  
Applying the M&amp;S Selection Business Rule, the FAC is MVG Class C, Average Quality.
</t>
  </si>
  <si>
    <r>
      <rPr>
        <sz val="11"/>
        <rFont val="Calibri"/>
        <family val="2"/>
        <scheme val="minor"/>
      </rPr>
      <t xml:space="preserve">The average area for this FAC is 5,825 SF.  </t>
    </r>
    <r>
      <rPr>
        <sz val="11"/>
        <color rgb="FFFF0000"/>
        <rFont val="Calibri"/>
        <family val="2"/>
        <scheme val="minor"/>
      </rPr>
      <t xml:space="preserve">
</t>
    </r>
  </si>
  <si>
    <t xml:space="preserve">International Building Code (IBC) Occupancy Group I, Institutional.
A fire sprinkler has been incorporated, applying the Fire Sprinkler Business Rule.
</t>
  </si>
  <si>
    <t xml:space="preserve">No UFC requirement exists for the incorporation of a loading dock.
The average number of floors is 1.3.   
No elevator has been included in the estimated cost in consonance with the Elevator Business Rule.
</t>
  </si>
  <si>
    <t xml:space="preserve">No overhead crane is provided, applying the Overhead Crane Business Rule
</t>
  </si>
  <si>
    <t>IBC, 2018 Edition</t>
  </si>
  <si>
    <t>Drug and Alcohol Abuse Center</t>
  </si>
  <si>
    <t>15/22</t>
  </si>
  <si>
    <t>Medical Office Building, Class C, Average</t>
  </si>
  <si>
    <t>Bread/Pastry Kitchen</t>
  </si>
  <si>
    <t>14/40</t>
  </si>
  <si>
    <t xml:space="preserve">Bakery Plant; Class C, D, &amp; S; including heating and/or cooling </t>
  </si>
  <si>
    <t>Sprinkler, 125,000 SF, Wet System, Average</t>
  </si>
  <si>
    <t>Ice/Dairy Products Plant</t>
  </si>
  <si>
    <t>14/25</t>
  </si>
  <si>
    <t>Creameries, Class C, Average</t>
  </si>
  <si>
    <t>Chiller/Freezer, Moderate Climate, per SF</t>
  </si>
  <si>
    <t>Sprinkler, 2,500 SF, Wet System, Average</t>
  </si>
  <si>
    <t>Greenhouse</t>
  </si>
  <si>
    <t>17/22</t>
  </si>
  <si>
    <t>Greenhouse, Straight-Wall Structure, Class S, Average</t>
  </si>
  <si>
    <t>17/23</t>
  </si>
  <si>
    <t>Humidifier, per EA, 1 EA</t>
  </si>
  <si>
    <t>Automatic vent and/or environmental controls, per unit</t>
  </si>
  <si>
    <t>Exchange Eating Facility</t>
  </si>
  <si>
    <t>13/17</t>
  </si>
  <si>
    <t>Restaurants - Fast Food, Class C, Average</t>
  </si>
  <si>
    <t>65/8</t>
  </si>
  <si>
    <t>Range hood, Complete, per LF, 10 LF per hood,  4 EA</t>
  </si>
  <si>
    <t>Restaurant Hood and Duct, Dry chemical system fire extinguisher, per nozzle, Average, 2 nozzles per 4 EA range hoods</t>
  </si>
  <si>
    <t>Assumed 4 vendors, each with 10' range hood, each hood with 2 dry chemical nozzles</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</si>
  <si>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</si>
  <si>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international Building Code provides guidance. 
</t>
  </si>
  <si>
    <t xml:space="preserve">The average area for this FAC is 2,960 SF. 
</t>
  </si>
  <si>
    <t xml:space="preserve">Use classification A (A-2, Assembly  uses for food and/or drink consumption).
The international Building Code (IBC) requires an automatic sprinkler when the occupant load exceeds 100, or the fire area exceeds 5,000 SF or if the fire area is not located on the level of exit discharge . The IBC sets a maximum of 15 sf/occupant for restaurants (table and chair use).  Allowing space for food preparation, restrooms and circulation, a reasonable net area for this FAC would be 2500 SF, giving a load 166 people.  Because this load could be reached in a design, a sprinkler system is included in the cost. 
</t>
  </si>
  <si>
    <t xml:space="preserve">No Unified Facilities Criteria (UFC) requirement exists for the incorporation of a loading dock
No elevator is provided in consonance with the Elevator Business Rules.
</t>
  </si>
  <si>
    <t xml:space="preserve">No UFC criteria exist for component material.  Any suitable material is permitted by the IBC.
</t>
  </si>
  <si>
    <t xml:space="preserve">IBC, International Code Council, 2018;  Chapter 3, "Occupancy Classification."
IBC, Chapter 6, “Types of Construction.”
IBC, paragraph 903.2.1.2, "Group A-2 Automatic Sprinkler System."
</t>
  </si>
  <si>
    <t>Open Mess and Club Facility</t>
  </si>
  <si>
    <t>13/14</t>
  </si>
  <si>
    <t>Restaurant (350), Class C, Average</t>
  </si>
  <si>
    <t>Range hood, Complete, per LF, 10 LF, 2 EA</t>
  </si>
  <si>
    <t>Restaurant Hood and Duct, Dry Chemical Fire Protection System , 4 nozzles, per nozzle, Average</t>
  </si>
  <si>
    <t>13/39</t>
  </si>
  <si>
    <t>Elevator, Passenger, 2-3 story, Average</t>
  </si>
  <si>
    <t>Elevator, Freight, 2-3 story, Average</t>
  </si>
  <si>
    <t>Overhead door, Rollup, 81 SF/door</t>
  </si>
  <si>
    <t>Overhead door, Eelectric operator, EA</t>
  </si>
  <si>
    <t>Dock bumper, Horizontal, per LF, 10 LF</t>
  </si>
  <si>
    <t xml:space="preserve">OSD based design criteria does not apply to Open Mess and Club Facilities as they are Category “C” Morale Welfare and Recreation Facilities (MWR), and therefore funded through sales without Appropriated Funds.   
Applicable national, state, local codes apply.
Typical codes include:  International Building Code (IBC), National Fire Protection Association (NFPA) Codes (including the National Electrical Code), International Mechanical Code, International Plumbing Code. 
</t>
  </si>
  <si>
    <t xml:space="preserve">Any type of construction (Type I, II, or III) is allowable, given the design analysis/trade-off of material and fire safety.  The IBC provides guidance. 
</t>
  </si>
  <si>
    <r>
      <t xml:space="preserve">The average area for this FAC is 13,065 SF. 
IBC occupancy group classification is A (A-2, Assembly uses for food and/or drink consumption). </t>
    </r>
    <r>
      <rPr>
        <b/>
        <sz val="11"/>
        <color rgb="FFFF0000"/>
        <rFont val="Calibri"/>
        <family val="2"/>
        <scheme val="minor"/>
      </rPr>
      <t xml:space="preserve"> </t>
    </r>
    <r>
      <rPr>
        <sz val="11"/>
        <rFont val="Calibri"/>
        <family val="2"/>
        <scheme val="minor"/>
      </rPr>
      <t xml:space="preserve">
</t>
    </r>
  </si>
  <si>
    <t xml:space="preserve">The IBC requires an automatic sprinkler when the occupant load exceeds 100, or the fire area exceeds 5,000 SF, or if the fire area is not located on the level of exit discharge.  Because the average size of this FAC exceeds 5,000 SF, a sprinkler system is included in the cost. </t>
  </si>
  <si>
    <t xml:space="preserve">Although no design criteria requires the incorporation of a loading dock, the likelihood of food deliveries drives the additional of one dock in the RUC calculation.
One elevator is provided in consonance with the Elevator Business Rule.
</t>
  </si>
  <si>
    <t xml:space="preserve">No Unified Facilities Criteria (UFC) requirement exists for the incorporation of overhead cranes.
</t>
  </si>
  <si>
    <t>Thrift Shop</t>
  </si>
  <si>
    <t>13/26</t>
  </si>
  <si>
    <t>Retail Store, Class C, Average</t>
  </si>
  <si>
    <t>Bus Station</t>
  </si>
  <si>
    <t>14/20</t>
  </si>
  <si>
    <t>Passenger Terminal, Class C, Average</t>
  </si>
  <si>
    <t>Laundry/Dry Cleaning Facility</t>
  </si>
  <si>
    <t>Central laundry and dry cleaning plant, upper limit</t>
  </si>
  <si>
    <t>Loading Dock, Assume 15x30', steel piers</t>
  </si>
  <si>
    <t>Loading Dock Roof, Good canopy structure with lighting and finished soffit, Assume 15x30'</t>
  </si>
  <si>
    <t>Sprinkler, 5,000 SF, Wet system, Average</t>
  </si>
  <si>
    <t>Postal Facility</t>
  </si>
  <si>
    <t>14/21</t>
  </si>
  <si>
    <t>Main Post Office, Class C, Average</t>
  </si>
  <si>
    <t>Exchange Automobile Facility</t>
  </si>
  <si>
    <t>64/1</t>
  </si>
  <si>
    <t>Service Station with Service Bays, Class S-C, Average</t>
  </si>
  <si>
    <t>Exchange Sales Facility</t>
  </si>
  <si>
    <t>Retail store, Class C, Average</t>
  </si>
  <si>
    <t>Overhead door, rollup, 81 SF/door, 2 EA</t>
  </si>
  <si>
    <t>Overhead door, electric operator, 2 EA</t>
  </si>
  <si>
    <t>Dock bumper, Horizontal, 10 LF/door, 20 LF total</t>
  </si>
  <si>
    <t xml:space="preserve">OSD-based design criteria does not apply to Exchange (Army-Air Force, Navy or Marine Corps) facilities because they are non-appropriated fund activities. 
Applicable national, state, local codes apply.  Typical codes include:  International Building Code (IBC), National Fire Protection Association (NFPA) Codes (including the National Electrical Code, International Mechanical Code, andInternational Plumbing Code. </t>
  </si>
  <si>
    <t xml:space="preserve">The average area for this FAC is 17,452 SF. 
</t>
  </si>
  <si>
    <t xml:space="preserve">Use classification M (Mercantile).
The IBC requires an automatic sprinkler when the fire area exceeds 12,000 SF.  Therefore a sprinkler was provided for this facility. 
</t>
  </si>
  <si>
    <t xml:space="preserve">Determination of the number of loading docks depends upon the number of simultaneous truck deliveries and time to load/unload.   For this facility, application of the NAOIP average of 7500 sf floor space to one dock was used as the best available method. 
No elevator is provided in consonance with the Elevator Business Rules.  Average number of floors above ground is 1.13.
</t>
  </si>
  <si>
    <t xml:space="preserve">No UFC criteria exist for component material.  Any suitable material is permitted by the International Building Code.
</t>
  </si>
  <si>
    <t xml:space="preserve">IBC, Chapter 6, “Types of Construction,” International Code Council, 2018 edition.
NFPA Codes
</t>
  </si>
  <si>
    <t>Bank and Credit Union</t>
  </si>
  <si>
    <t>15/21</t>
  </si>
  <si>
    <t>Bank - Branches, Class C, Average</t>
  </si>
  <si>
    <t>Car Wash Facility</t>
  </si>
  <si>
    <t>RPAD Ave Size</t>
  </si>
  <si>
    <t>64/5</t>
  </si>
  <si>
    <t>Self-Serve Car Wash, C, Average</t>
  </si>
  <si>
    <t>Commissary</t>
  </si>
  <si>
    <t>13/20</t>
  </si>
  <si>
    <t>Supermarket, Class C, Average</t>
  </si>
  <si>
    <t>Elevator, Passenger, 2-3 stories, Average, 1 EA</t>
  </si>
  <si>
    <t>Overhead door, roll-up, 81 SF/door, 8 EA</t>
  </si>
  <si>
    <t>Overhead door electrical operator, 8 EA</t>
  </si>
  <si>
    <t>Dock bumper, Horizontal, per LF, 10 LF/door, 8 EA</t>
  </si>
  <si>
    <t>Sprinkler, Wet System, Average, 50,000 SF</t>
  </si>
  <si>
    <t xml:space="preserve">OSD-based design criteria does not directly address the design of commissary facilities; design is the responsibility if the Defense Commissary Agency, which makes use of internal design standards and national, state, local codes apply.
Typical codes include: International Building Code IBC), National Fire Protection Association (NFPA) Codes (including the National Electrical Code [NEC]), International Mechanical Code (IMC), and the International Plumbing Code (IPC). 
</t>
  </si>
  <si>
    <r>
      <rPr>
        <sz val="11"/>
        <color theme="1"/>
        <rFont val="Calibri"/>
        <family val="2"/>
        <scheme val="minor"/>
      </rPr>
      <t xml:space="preserve">The average area for this FAC is 60,978 SF.   </t>
    </r>
    <r>
      <rPr>
        <sz val="11"/>
        <color rgb="FFFF0000"/>
        <rFont val="Calibri"/>
        <family val="2"/>
        <scheme val="minor"/>
      </rPr>
      <t xml:space="preserve">
</t>
    </r>
  </si>
  <si>
    <t xml:space="preserve">IBC use group M (Mercantile).
The IBC requires an automatic sprinkler when the fire area exceeds 12,000 SF, which is the case for the commissary.  A sprinkler is included in the replacement unit cost.
</t>
  </si>
  <si>
    <t>A reasonable assumption is to include a loading dock based upon the function of this FAC.  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warehouse space, used in this case to represent the storage and display of foodstuffs.  Using that average of 7,500 sf of floor space per truck dock, 8 truck docks have been included in the unit cost.      
The guide specification for design of a loading dock is contained in the Unified Facilities Guide Specification . 
One (1) elevator is provided in consonance with the Elevator Business Rules.  Average number of floors above ground is 1.22.</t>
  </si>
  <si>
    <t xml:space="preserve">IBC, Chapter 6 “Types of Construction”, International Code Council, 2018.
Commercial Real Estate Development Association, NAIOP Research Foundation, “NAIOP Terms and Definitions: North American Office and Industrial Market, pg. 12.
Unified Facility Guide Specification, UFGS-11 13 19.13 (August 2009)
</t>
  </si>
  <si>
    <t>Education Center</t>
  </si>
  <si>
    <t>Current Cost Adjustment</t>
  </si>
  <si>
    <t>18/14</t>
  </si>
  <si>
    <t>Classroom, Class C, Average</t>
  </si>
  <si>
    <t>Sprinkler, Wet System, Average, 10,000 SF</t>
  </si>
  <si>
    <t>% &gt; 12,000 SF</t>
  </si>
  <si>
    <t>18/35</t>
  </si>
  <si>
    <t>Elevator, Passenger, Average, 2-3 story, 2 EA</t>
  </si>
  <si>
    <t>$/SF</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</si>
  <si>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</si>
  <si>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for Multi-Disciplinary and Facility Specific Design (4 Series) is not provided for this type of facility.  
</t>
  </si>
  <si>
    <t xml:space="preserve">UFC criteria do not exist for component material.  
</t>
  </si>
  <si>
    <t xml:space="preserve">The average area for this FAC is 13452 SF.  
</t>
  </si>
  <si>
    <t xml:space="preserve">UFC 3-600-01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RUC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119/406 = 29.31% 
</t>
  </si>
  <si>
    <t>Two (2) elevators have been included in consonance with the Elevator Business Rule.  Average number of floors above ground is 1.66.</t>
  </si>
  <si>
    <t xml:space="preserve">UFC 3-600-01, "Fire Protection Engineering for Facilities," 08 August 2016 with Change 2, 25 March 2018
NFPA Publication 101, Life Safety Code, 2015 edition 
IBC Section 903.2.3, 2018 Edition 
</t>
  </si>
  <si>
    <t>Dependent School</t>
  </si>
  <si>
    <t>2017 Inventory (in SF) - All schools</t>
  </si>
  <si>
    <t>Weighted Unit Cost</t>
  </si>
  <si>
    <t>Dependent Schools: Elementary School, CONUS</t>
  </si>
  <si>
    <t>Dependent School Support Facility</t>
  </si>
  <si>
    <t>Elementary School-CONUS</t>
  </si>
  <si>
    <t>66/9</t>
  </si>
  <si>
    <t>67/3</t>
  </si>
  <si>
    <t>Chapel Facility</t>
  </si>
  <si>
    <t>Chapel, including Pew Seating</t>
  </si>
  <si>
    <t>Religious Education Facility</t>
  </si>
  <si>
    <t>Sprinkler, Wet System, Average, 5000 SF</t>
  </si>
  <si>
    <t xml:space="preserve">Unified Facilities Criteria (UFC) for Multi-Disciplinary and Facility Specific Design (4 Series) are not provided for this type of facility.  
</t>
  </si>
  <si>
    <t xml:space="preserve">No UFCs exist for component material.  
</t>
  </si>
  <si>
    <t xml:space="preserve">The average area for this FAC is 5,972 SF.  
</t>
  </si>
  <si>
    <r>
      <t>UFC 3-600-01, Fire Protection Engineering for Facilities, requires compliance with NFPA 101 for education occupancies.  National Fire Protection Association (NFPA) Publication 101, Section 14.3.5.1  requires new E occupancies, in which the FAC 7362 is categorized, to be fully sprinklered in all fire areas exceeding 12,000 SF.  This same requirement exists in the International Building Code (IBC), Section 903.2.3,  governing Occupancy Group E (schools, educational uses).  The RUC calculation recognizes this difference between those facilities requiring sprinklers and those smaller than the threshold by applying a multiplier representing the ratio of total number of facilities exceeding the 12,000 SF threshold to the total number of facilities in this FAC, 20/144 = 13.89</t>
    </r>
    <r>
      <rPr>
        <sz val="11"/>
        <rFont val="Calibri"/>
        <family val="2"/>
        <scheme val="minor"/>
      </rPr>
      <t xml:space="preserve">% 
</t>
    </r>
  </si>
  <si>
    <t>No elevator has been included in consonance with the Elevator Business Rule.</t>
  </si>
  <si>
    <t xml:space="preserve">No UFCs exist for component material.   </t>
  </si>
  <si>
    <t>Nursery and Child Care Facility</t>
  </si>
  <si>
    <t>CDC-Preschool, 232 children, 0-6 yrs</t>
  </si>
  <si>
    <t>Family Service Center</t>
  </si>
  <si>
    <t>15/31</t>
  </si>
  <si>
    <t>Community Service Building, Class C, Average</t>
  </si>
  <si>
    <t>Sprinkler, Wet System, Average, 5,000 SF</t>
  </si>
  <si>
    <t>Forestry Guard Station</t>
  </si>
  <si>
    <t>17/15</t>
  </si>
  <si>
    <t>Guard House, Class C, Average</t>
  </si>
  <si>
    <t>Locker Room</t>
  </si>
  <si>
    <t xml:space="preserve">Sprinkler, Wet System, Average, 5,000 SF </t>
  </si>
  <si>
    <t>Air Raid/Fallout/Storm Shelter</t>
  </si>
  <si>
    <t>Miscellaneous Personnel Shelter</t>
  </si>
  <si>
    <t>Picnic shelter</t>
  </si>
  <si>
    <t>Lighting Fixtures for Picnic Shelter, 2 Each</t>
  </si>
  <si>
    <t>Passenger Terminal, Class D, Low Cost</t>
  </si>
  <si>
    <t xml:space="preserve">Average Facility Cost </t>
  </si>
  <si>
    <t>Public Restroom/Shower</t>
  </si>
  <si>
    <t>18/21</t>
  </si>
  <si>
    <t>Restroom Building, Class C, Average</t>
  </si>
  <si>
    <t xml:space="preserve">Sprinkler, Wet System, Average, 3,000 SF </t>
  </si>
  <si>
    <t>Ceremonial Hall</t>
  </si>
  <si>
    <t>18/23</t>
  </si>
  <si>
    <t>Fieldhouse, Class C, Good</t>
  </si>
  <si>
    <t>Sprinkler, Wet System, Good, 15,000 SF</t>
  </si>
  <si>
    <t>Exchange Support Facility</t>
  </si>
  <si>
    <t>Distribution Warehouse, Class C, Average</t>
  </si>
  <si>
    <t>14/32</t>
  </si>
  <si>
    <t>Service (Repair) Garage, Class C, Average</t>
  </si>
  <si>
    <t xml:space="preserve">Average of four building types </t>
  </si>
  <si>
    <t>Exchange Warehouse</t>
  </si>
  <si>
    <t>General Purpose Warehouse, Installation, Low-Bay, Up to 16 FT Stack Height,  &gt;15,000 SF</t>
  </si>
  <si>
    <t>Private Vehicle Inspection Facility</t>
  </si>
  <si>
    <t>USACE PAX Newsletter 3.2.2, 5 May 2013</t>
  </si>
  <si>
    <t>Search Area Canopy -Truck</t>
  </si>
  <si>
    <t>Hobby And Craft Center</t>
  </si>
  <si>
    <t xml:space="preserve">Sprinkler, Wet System, Average, 10,000 SF </t>
  </si>
  <si>
    <t>Automobile Craft Center</t>
  </si>
  <si>
    <t>Golf Club House and Sales</t>
  </si>
  <si>
    <t>11/30</t>
  </si>
  <si>
    <t>Clubhouse, Class C, Average</t>
  </si>
  <si>
    <t>Club and Organization Building</t>
  </si>
  <si>
    <t>Bowling Center</t>
  </si>
  <si>
    <t>16/22</t>
  </si>
  <si>
    <t>Bowling Center, C, Good</t>
  </si>
  <si>
    <t>16/25</t>
  </si>
  <si>
    <t xml:space="preserve">Sprinkler, Wet System, Average, 20,000 SF </t>
  </si>
  <si>
    <t>Library, General Use</t>
  </si>
  <si>
    <t>15/32</t>
  </si>
  <si>
    <t>Library, Class C, Average</t>
  </si>
  <si>
    <t>Recreation Center</t>
  </si>
  <si>
    <t>16/18</t>
  </si>
  <si>
    <t>Community Recreation Center, Class C, Average</t>
  </si>
  <si>
    <t>% &gt; 12K SF</t>
  </si>
  <si>
    <t xml:space="preserve">The average area for this FAC is 8.230 SF.  
</t>
  </si>
  <si>
    <t xml:space="preserve">UFC 3-600-01, Fire Protection Engineering for Facilities, requires compliance with National Fire Protection Association (NFPA) Life Safety Code, NFPA Publication 101, for assembly occupancies.  NFPA 101, Section 14.3.5.1, requires new Group A occupancies, in which FAC 7113 is categorized, to be fully sprinklered in all fire areas exceeding 12,000 SF.  This same requirement exists in the International Building Code (IBC), Section 903.2.1.3, governing Occupancy Group A (assembly, A-3 intended for worship, recreation or amusement uses).   The RUC calculation recognizes this difference between those facilities requiring sprinklers (larger than 12,000 SF) and those smaller than 12,000 SF by multiplying the cost of a sprinkler by the ratio of the number of records in the inventory of facilities larger than 12,000 SF to the total number of records, 306/1204, or 25.42%. 
</t>
  </si>
  <si>
    <t xml:space="preserve"> UFC 3-600-01, "Fire Protection Engineering for Facilities," 08 August 2016 with Change 2, 25 March 2018
 NFPA Publication 101, Life Safety Code, 2015 edition 
 IBC, Section 903.2.1.3, 2018 edition
</t>
  </si>
  <si>
    <t>Indoor Skating Rink</t>
  </si>
  <si>
    <t>16/20</t>
  </si>
  <si>
    <t>Ice Skating Rink, Class C, Average</t>
  </si>
  <si>
    <t>Indoor Physical Fitness Facility</t>
  </si>
  <si>
    <t>Indoor Swimming Pool</t>
  </si>
  <si>
    <t>Natatorium, Class C, Average</t>
  </si>
  <si>
    <t>Auditorium and Theater Facility</t>
  </si>
  <si>
    <t>16/13</t>
  </si>
  <si>
    <t>Theater, Cinema, Class C, Average</t>
  </si>
  <si>
    <t>Community Activities / Conference Center</t>
  </si>
  <si>
    <t>Community Recreation Center, Class C, Good</t>
  </si>
  <si>
    <t>Transient  Lodging</t>
  </si>
  <si>
    <t>USACE PAX Newsletter 3.2.2,                                                            16 May 2016</t>
  </si>
  <si>
    <t>Transient Training Officers Quarters</t>
  </si>
  <si>
    <t>Senior Enlisted Officers Quarters, Transient</t>
  </si>
  <si>
    <t>Recreational Lodging</t>
  </si>
  <si>
    <t>12/9</t>
  </si>
  <si>
    <t>Motel, Class C, Average</t>
  </si>
  <si>
    <t>Transient And Recreational Lodging Support Facility</t>
  </si>
  <si>
    <t>Stable</t>
  </si>
  <si>
    <t>17/36</t>
  </si>
  <si>
    <t xml:space="preserve">Stable, Class C, Average </t>
  </si>
  <si>
    <t>Boathouse</t>
  </si>
  <si>
    <t>Boat Storage Building,Class S (substitute for C), Average</t>
  </si>
  <si>
    <t>MWR Sales and Rental Building</t>
  </si>
  <si>
    <t>Sprinkler, 10,000 SF wet, average</t>
  </si>
  <si>
    <t>MWR Storage Building</t>
  </si>
  <si>
    <t xml:space="preserve">Storage Building, Unheated </t>
  </si>
  <si>
    <t>General Purpose (GP) Warehouse, Installation, Low-Bay, Up to 16 FT Stack Height, &lt; 15,000 SF</t>
  </si>
  <si>
    <t>Recreational Support Building</t>
  </si>
  <si>
    <t>Mechanical Building, Class "S"</t>
  </si>
  <si>
    <t>Extra Hazard</t>
  </si>
  <si>
    <t>Retail Kennel</t>
  </si>
  <si>
    <t>15/27</t>
  </si>
  <si>
    <t>Kennel, Class C,  Good</t>
  </si>
  <si>
    <t>Sprinkler, Wet, 3,000 SF, Average</t>
  </si>
  <si>
    <t>66/4</t>
  </si>
  <si>
    <t>Outdoor Kennel Run, 800 SF, 4.67 per SF (Wire Mesh on Steel Posts [Wall Area])</t>
  </si>
  <si>
    <t>Outdoor Kennel Run, Mesh Cover (Roof Area), 800 SF @ $5.76/SF</t>
  </si>
  <si>
    <t>Gate, Kennel Run, 4 Each</t>
  </si>
  <si>
    <t>Playground</t>
  </si>
  <si>
    <t>USACE PAX Newsletter 3.2.2, 6 May 2016</t>
  </si>
  <si>
    <t>Unit Cost (SF)</t>
  </si>
  <si>
    <t>Playground for Preschool Children, Small</t>
  </si>
  <si>
    <t>Playground for Preschool Children, Medium</t>
  </si>
  <si>
    <t>Playground for School Age Children, Small</t>
  </si>
  <si>
    <t>Playground for Youth Center</t>
  </si>
  <si>
    <t>Outdoor Swimming Pool</t>
  </si>
  <si>
    <t>Pour Concrete Pool, 25 x 50 m = 13,455 SF Surface Area</t>
  </si>
  <si>
    <t>66/7</t>
  </si>
  <si>
    <t xml:space="preserve">Poured Concrete Pool, 13,455 SF </t>
  </si>
  <si>
    <t>Deduct 20% for gunnite</t>
  </si>
  <si>
    <t>Decking, 11,238 SF, 4" cocncrete, unreinforced</t>
  </si>
  <si>
    <t>Add for mesh reinforcing for deck</t>
  </si>
  <si>
    <t>Fence, 6', #9 wire, per LF, w/rails</t>
  </si>
  <si>
    <t>LF/EA</t>
  </si>
  <si>
    <t>Gates, 5 FT wide, 6 Ft high, 4 EA</t>
  </si>
  <si>
    <t>Golf Course</t>
  </si>
  <si>
    <t>Average of</t>
  </si>
  <si>
    <t>67/1</t>
  </si>
  <si>
    <t>Class III, Typical Private Club, 18 holes, per hole</t>
  </si>
  <si>
    <t>Hole</t>
  </si>
  <si>
    <t>Holes/EA</t>
  </si>
  <si>
    <t>Class III, Typical Private Club, 9 holes, per hole</t>
  </si>
  <si>
    <t>Golf Driving Range</t>
  </si>
  <si>
    <t>67/2</t>
  </si>
  <si>
    <t>Lighted driving range, assume 20 stations</t>
  </si>
  <si>
    <t>Station</t>
  </si>
  <si>
    <t>Stations/EA</t>
  </si>
  <si>
    <t>Golf Pitch and Putt Course</t>
  </si>
  <si>
    <t>Pitch and putt course, Average, assume 9 holes</t>
  </si>
  <si>
    <t>Recreational Pier</t>
  </si>
  <si>
    <t>Assumed size 8 FT wide, 30 FT' long</t>
  </si>
  <si>
    <t>Ship and boat dock, Light construction, 2" floating deck, light posts</t>
  </si>
  <si>
    <t>Marina</t>
  </si>
  <si>
    <t>Assumed # slips = 90 (from review of military websites)</t>
  </si>
  <si>
    <t>Small Boat Marina, Average cost</t>
  </si>
  <si>
    <t>Slips/EA</t>
  </si>
  <si>
    <t>Outdoor Playing Court</t>
  </si>
  <si>
    <t>Average of 1 Tennis Court and 2  Basketball courts</t>
  </si>
  <si>
    <t>67/7</t>
  </si>
  <si>
    <t>Tennis Court, 7200 sf (with apron), conk, net, striping</t>
  </si>
  <si>
    <t>Lighting (Assume 50% lighting)</t>
  </si>
  <si>
    <t>Fencing</t>
  </si>
  <si>
    <t>Subtotal</t>
  </si>
  <si>
    <t>Synthetic Basketball Court  (94' x 50' + 10 ft apron)</t>
  </si>
  <si>
    <t>Basketball Backstop, with pole</t>
  </si>
  <si>
    <t>per court</t>
  </si>
  <si>
    <t>Assume 2 basketball courts / 5% deduction for multiple courts</t>
  </si>
  <si>
    <t>Athletic Field</t>
  </si>
  <si>
    <t xml:space="preserve">Design Size </t>
  </si>
  <si>
    <t>Multipurpose Athletics Field (360' x 160')</t>
  </si>
  <si>
    <t>Stadium</t>
  </si>
  <si>
    <t>Assume 10,000 seats, priced per seat</t>
  </si>
  <si>
    <t>67/4</t>
  </si>
  <si>
    <t>Grandstand bleachers, open steel frame, school/fairground</t>
  </si>
  <si>
    <t>Seat</t>
  </si>
  <si>
    <t>Seats/EA</t>
  </si>
  <si>
    <t>Concrete/steel bleachers, no interior construction, stadium type, closed deck</t>
  </si>
  <si>
    <t>Bleachers with built-in training rooms, restrooms, snack bar, college or small municipal stadium type</t>
  </si>
  <si>
    <t>Pavilion</t>
  </si>
  <si>
    <t>16/23</t>
  </si>
  <si>
    <t>Pavilion, Class C, Average</t>
  </si>
  <si>
    <t>Outdoor Theater</t>
  </si>
  <si>
    <t>67/5</t>
  </si>
  <si>
    <t>Drive-In theater, average (priced per car)</t>
  </si>
  <si>
    <t>Car</t>
  </si>
  <si>
    <t>Cars / EA</t>
  </si>
  <si>
    <t>Assume 75 Cars</t>
  </si>
  <si>
    <t>Recreational Camp and Trailer Park</t>
  </si>
  <si>
    <t>Number of Spaces Modifier (40 Spaces)</t>
  </si>
  <si>
    <t>63/2</t>
  </si>
  <si>
    <t>Trailer and Recreational Vehicle Parks, Low Cost, per space; Assume 40 Spaces; includes paving, utilities, and associated site facilities</t>
  </si>
  <si>
    <t>Space</t>
  </si>
  <si>
    <t>Spaces/EA</t>
  </si>
  <si>
    <t>Miscellaneous Outdoor Recreation Facility</t>
  </si>
  <si>
    <t>Record Size</t>
  </si>
  <si>
    <t>Tennis Court, 7200 SF, lighting, fenced, resilient cushioned layer</t>
  </si>
  <si>
    <t>Miniature Golf Course, 18 Holes, Average Course</t>
  </si>
  <si>
    <t>Hole to EA</t>
  </si>
  <si>
    <t>Baseball, 3.5 acres</t>
  </si>
  <si>
    <t>Soil preparation, per SF, fine grading, 3.5 acres, Average</t>
  </si>
  <si>
    <t>AC to SF</t>
  </si>
  <si>
    <t>Lawn seeding, per SF, 3.5 acres, Average</t>
  </si>
  <si>
    <t>Batting cage</t>
  </si>
  <si>
    <t>Baseball backstop, with hood</t>
  </si>
  <si>
    <t>Chain-link fence, # 9 wire, 8 FT height (dugouts and bleachers)</t>
  </si>
  <si>
    <t>Permanent bleachers, wood frame, benches</t>
  </si>
  <si>
    <t>Seat to EA</t>
  </si>
  <si>
    <t>Total for Baseball Field</t>
  </si>
  <si>
    <t>Football</t>
  </si>
  <si>
    <t>Lawn seeding</t>
  </si>
  <si>
    <t>Soccer</t>
  </si>
  <si>
    <t>Jogging Trail</t>
  </si>
  <si>
    <t>Soil preparation, fine grading</t>
  </si>
  <si>
    <t>Mulching</t>
  </si>
  <si>
    <t>Edging, redwood (2 edges per trail)</t>
  </si>
  <si>
    <t>Total for Jogging Trail</t>
  </si>
  <si>
    <t>Subtotal, all facilities</t>
  </si>
  <si>
    <t>Note: see footnotes for sizing of fields</t>
  </si>
  <si>
    <t>Average facility cost</t>
  </si>
  <si>
    <t>Unified Facilities Criteria (UFC) 4-750-02N  provides design criteria for outdoor sports and recreation facilities; UFC 4-750-16  provides design criteria  for military recreation centers.</t>
  </si>
  <si>
    <t xml:space="preserve">Material guidance is provided in the referenced UFC and in the following Unified Facilities Guide Specification (UFGS): UFGS 11 68 13, Playground Equipment;         UFGS 32 18 16.13, Playground Protective Surfacing; UFGS 32 31 13, Chain Link Fences and Gates; UFGS 32 92 19, Seeding; and, UFGS 32 93 00, Exterior Plants.
</t>
  </si>
  <si>
    <t>The average quantity for this FAC is 1.37 EA.
This FAC does not represent a building and therefore has no International Building Code Occupancy Group.</t>
  </si>
  <si>
    <t xml:space="preserve">No fire suppression system is specified for outdoor recreation facilities.  
</t>
  </si>
  <si>
    <t xml:space="preserve">No UFC requirement exists for the incorporation of a loading dock as this is not a facility with anticipated deliveries.
No elevator is provided in consonance with the Elevator Business Rules.
</t>
  </si>
  <si>
    <t xml:space="preserve">No UFC requirement exists for the incorporation of overhead cranes.  
</t>
  </si>
  <si>
    <t xml:space="preserve">Standards, in the form of guide specifications, are cited above. </t>
  </si>
  <si>
    <t>Museum</t>
  </si>
  <si>
    <t>16/19</t>
  </si>
  <si>
    <t>Museum, C, Good</t>
  </si>
  <si>
    <t>Sprinkler, 15,000 SF wet, good</t>
  </si>
  <si>
    <t>Columbarium</t>
  </si>
  <si>
    <t>Mausoleum, Niche, Average</t>
  </si>
  <si>
    <t>Niche</t>
  </si>
  <si>
    <t>Pentagon Memorial</t>
  </si>
  <si>
    <t>Project Cost Line Item for 184 Memorials</t>
  </si>
  <si>
    <t>Memorials</t>
  </si>
  <si>
    <t>Cost per Memorial Unit</t>
  </si>
  <si>
    <t>Cost from MILCON project DD Form 1354; constructed in 2008.  
Area Cost Factor derived from USACE PAX 3.2.1 Area Cost Factors, 24 April 2018.
184 Memorial Units at the Pentagon Memorial.</t>
  </si>
  <si>
    <t>Electrical Power Source</t>
  </si>
  <si>
    <t>Standby power, complete with controls, 1000 KW, Diesel Drive</t>
  </si>
  <si>
    <t>Stand-By/Emergency Power</t>
  </si>
  <si>
    <t>Unit Cost (EA)</t>
  </si>
  <si>
    <t>Reference Size (KW)</t>
  </si>
  <si>
    <t>Standby Generator, Diesel, 3 Phase / 4 Wire, 75 KW</t>
  </si>
  <si>
    <t>KW/EA</t>
  </si>
  <si>
    <t>Standby Generator, Diesel, 3 Phase / 4 Wire, 125 KW</t>
  </si>
  <si>
    <t>Standby Generator, Diesel, 3 Phase / 4 Wire, 200 KW</t>
  </si>
  <si>
    <t>Standby Generator, Diesel, 3 Phase / 4 Wire, 300 KW</t>
  </si>
  <si>
    <t>Standby Generator, Diesel, 3 Phase / 4 Wire, 400 KW</t>
  </si>
  <si>
    <t>Standby Generator, Diesel, 3 Phase / 4 Wire, 500 KW</t>
  </si>
  <si>
    <t>Electrical Power Source, Hydroelectric</t>
  </si>
  <si>
    <t>Generating Plant, Hydropower</t>
  </si>
  <si>
    <t>KW to MW</t>
  </si>
  <si>
    <t>Electrical Power Source, Wind Generated</t>
  </si>
  <si>
    <t>Wind power turbine</t>
  </si>
  <si>
    <t>Electrical Power Source, Photovoltaic</t>
  </si>
  <si>
    <t>54/5</t>
  </si>
  <si>
    <t>Solar Module, 300 W, 1,000 EA</t>
  </si>
  <si>
    <t>Watts</t>
  </si>
  <si>
    <t>KW per system</t>
  </si>
  <si>
    <t>Industrial Inverter, 3-Phase, grid-tie, 300 KW</t>
  </si>
  <si>
    <t>Charge Controller, 60 amp, 20 each</t>
  </si>
  <si>
    <t>Amp</t>
  </si>
  <si>
    <t>Industrial Deep-Cycle Battery Pack, 24 volt, 10 each</t>
  </si>
  <si>
    <t>Volt</t>
  </si>
  <si>
    <t>Designed as a 300 KW System</t>
  </si>
  <si>
    <t>Electrical Power Distribution Line, Overhead</t>
  </si>
  <si>
    <t>Unit Cost                (1000 LF)</t>
  </si>
  <si>
    <r>
      <t>H-Frame Distributio Linesn, 15-69 KV, Short Lines with Cross Arms and</t>
    </r>
    <r>
      <rPr>
        <sz val="11"/>
        <color rgb="FFFF0000"/>
        <rFont val="Calibri"/>
        <family val="2"/>
        <scheme val="minor"/>
      </rPr>
      <t xml:space="preserve"> </t>
    </r>
    <r>
      <rPr>
        <sz val="11"/>
        <color theme="1"/>
        <rFont val="Calibri"/>
        <family val="2"/>
        <scheme val="minor"/>
      </rPr>
      <t>Insulators</t>
    </r>
  </si>
  <si>
    <t>to LF</t>
  </si>
  <si>
    <t>Overhead Lines below 15KV, with Cross Arms and Insulators</t>
  </si>
  <si>
    <t>Exterior Lighting, Pole</t>
  </si>
  <si>
    <t>Street light, underground  wiring, 200' O.C.</t>
  </si>
  <si>
    <t>Electrical Power Distribution Line, Underground</t>
  </si>
  <si>
    <t>Unit Cost (LF)</t>
  </si>
  <si>
    <t>Direct Burial, #1/0 - 3/C, 600 Volts DB, SEU Copper Conductor, Excavation and Backfill (USACE PAX Newsletter 3.2.2, 06 April 2017)</t>
  </si>
  <si>
    <t>Direct Burial, #4/0 - 3/C, 600 Volts DB, SEU Copper Conductor, Excavation and Backfill (USACE PAX Newsletter 3.2.2, 06 April 2017)</t>
  </si>
  <si>
    <t>Underground Ductbanks, 1-Way, 4" Diameter PVC, including Excavation, Cast-in-Place Concrete, Backfill</t>
  </si>
  <si>
    <t>Underground Ductbanks, 2-Way, 4" Diameter PVC, including Excavation, Cast-in-Place Concrete, Backfill</t>
  </si>
  <si>
    <t>Underground Ductbanks, 4-Way, 4" Diameter PVC, including Excavation, Cast-in-Place Concrete, Backfill</t>
  </si>
  <si>
    <t>Underground Ductbanks, 6-Way, 6" Diameter PVC, including Excavation, Cast-in-Place Concrete, Backfill</t>
  </si>
  <si>
    <t>Electrical Power Substation</t>
  </si>
  <si>
    <t>PACES 1.3;
UFC 3-550-01, September 2016</t>
  </si>
  <si>
    <t>A1030010105</t>
  </si>
  <si>
    <t>203.2 mm(8") Slab On Grade 27,579 kPa(4000 PSI)</t>
  </si>
  <si>
    <t>D5010010104</t>
  </si>
  <si>
    <t>800 Amp Secondary Transformer</t>
  </si>
  <si>
    <t>D5010050612</t>
  </si>
  <si>
    <t>Enclosed Cir Breaker 600V 225A</t>
  </si>
  <si>
    <t>D5010060715</t>
  </si>
  <si>
    <t>Fused Safety Switch; 600V- NEMA 1</t>
  </si>
  <si>
    <t>D5010060718</t>
  </si>
  <si>
    <t>800A Main Switch Board Section, 480V, 3PH Copper Bus</t>
  </si>
  <si>
    <t>D5090030303</t>
  </si>
  <si>
    <t>Transformer Grounding</t>
  </si>
  <si>
    <t>D5090040401</t>
  </si>
  <si>
    <t>Lightning Protection System</t>
  </si>
  <si>
    <t>D5090060601</t>
  </si>
  <si>
    <t>Energy Management Control System</t>
  </si>
  <si>
    <t>PTS</t>
  </si>
  <si>
    <t>D5090909001</t>
  </si>
  <si>
    <t>Three Pair Conductor Signal Filter</t>
  </si>
  <si>
    <t>D5090909039</t>
  </si>
  <si>
    <t>1600 Amp Bus Duct</t>
  </si>
  <si>
    <t>D5090909052</t>
  </si>
  <si>
    <t>1600 Amp Feeder Duct</t>
  </si>
  <si>
    <t>D5090909055</t>
  </si>
  <si>
    <t>4000 Amp Feeder Duct</t>
  </si>
  <si>
    <t>G4010022677</t>
  </si>
  <si>
    <t>Oil filled transformer pad mounted, 15 kV with taps, 480 V secondary 3 phase, 1500 kVA</t>
  </si>
  <si>
    <t>G4010033076</t>
  </si>
  <si>
    <t>Oil circuit breakers, 13 to 26 kV</t>
  </si>
  <si>
    <t>G4010053217</t>
  </si>
  <si>
    <t>Steel pole, square, tapered shaft, 20', for distribution</t>
  </si>
  <si>
    <t>G4010060555</t>
  </si>
  <si>
    <t>15 KV, 3/0 To 4/0 Conductor, Terminations &amp; Splicing</t>
  </si>
  <si>
    <t>G4010064407</t>
  </si>
  <si>
    <t>Wire, copper, stranded, 600 volt, #2, type XHHW, in raceway</t>
  </si>
  <si>
    <t>Transmission to Distribution Substation, 3 Phase to 3 Phase above ground designed to average RPAD inventory size/rating
PACES Input Parameters:
Project Location = Fort Myer, VA (ACF= 1.02)
Midpoint of Construction: 1 October 2017
SIOH =  0 %
Contingency = 0 %
Planning and Design = 0 %</t>
  </si>
  <si>
    <t>Electrical Power Switching Station</t>
  </si>
  <si>
    <t>Enclosed Circuit Breaker 600V 225A</t>
  </si>
  <si>
    <t>Switching Station, 3 Phase to 3 Phase above ground designed to average RPAD inventory size/rating
PACES Input Parameters:
Project Location = Fort Myer, VA (ACF= 1.02)
Midpoint of Construction: 1 October 2017
SIOH =  0 %
Contingency = 0 %
Planning and Design = 0 %</t>
  </si>
  <si>
    <t>Tot</t>
  </si>
  <si>
    <t>Electrical Power Transformers</t>
  </si>
  <si>
    <t>USACE PAX Newsletter 3.2.2; 30 May 2018</t>
  </si>
  <si>
    <t>500 kVA, OIL FILLED, 15 kV W/ TAPS, 480 V SECONDARY 3 PHASE</t>
  </si>
  <si>
    <t>EA/KV</t>
  </si>
  <si>
    <t>1,000 kVA, OIL FILLED, 15 kV W/ TAPS, 480 V SECONDARY, 3 PHASE</t>
  </si>
  <si>
    <t>XFMR 2,000 KVA, OIL FILLED, 15 kV W/ TAPS, 480 V SECONDARY, 3 PHASE</t>
  </si>
  <si>
    <t>Lightning Protection System, Standalone</t>
  </si>
  <si>
    <t>Utility Pole, 40' High</t>
  </si>
  <si>
    <t>Grounding Rod, Complete, Good</t>
  </si>
  <si>
    <t>Lightning Terminal Point</t>
  </si>
  <si>
    <t>Cable, Lightning Protection, 80 ft</t>
  </si>
  <si>
    <t>FT/EA</t>
  </si>
  <si>
    <t xml:space="preserve">54/2 </t>
  </si>
  <si>
    <t>Insulator and Cable</t>
  </si>
  <si>
    <t>By FAC definition, "EA" refers to 1 pole/support structure within a lightning protection system.  Assume Poles are 40' tall</t>
  </si>
  <si>
    <t>Heat Source</t>
  </si>
  <si>
    <t>Feature</t>
  </si>
  <si>
    <t>1 Boiler Horsepower (BHP) = 33,475 BH</t>
  </si>
  <si>
    <t>BH/BHP</t>
  </si>
  <si>
    <t>BHP = average size</t>
  </si>
  <si>
    <t>62/1</t>
  </si>
  <si>
    <t>Large high capacity package boiler proportional cost</t>
  </si>
  <si>
    <t>/BHP</t>
  </si>
  <si>
    <t>Cost per BH = ($/BHP)*BHP/BH</t>
  </si>
  <si>
    <t>/BH</t>
  </si>
  <si>
    <t>per BH</t>
  </si>
  <si>
    <t>62/5</t>
  </si>
  <si>
    <t>Steel stack, 36 " diameter, 3/8", including foundation, 30 FT (Cost per foot of height)</t>
  </si>
  <si>
    <t>UM changed for FY17 at direction of RPCP</t>
  </si>
  <si>
    <t>Note: Cost per BHP scaled using Marshall and Swift sample cost for 1000 and 6000 hp boilers at 62/1</t>
  </si>
  <si>
    <t xml:space="preserve">American Society of Mechanical Engineers (ASME) Bolier and Pressure Vessel Code (BPVC) Section IV (2015)  governs the construction of the boiler (heat source).
Heat source controls are governed by ASME CSD-1-2015.  
Unified Facilities Criteria (UFC) 3-410-01 provides general guidance for the heating system, including sizing and heat loss calculation guidance. 
UFC 3-430-02FA  provides guidance for steam boilers, referring the design professional to the ASME code for specific requirements and criteria. 
UFC 3-430-08N  provides guidance for a variety of central heating plants, referring the design professional to the ASME code for specific requirements and criteria. 
</t>
  </si>
  <si>
    <t xml:space="preserve">UFCs cited above direct the user to the ASME code for construction (fabrication) of a heat source. </t>
  </si>
  <si>
    <t xml:space="preserve">The average quantity for this FAC is 35,975,273 BH (Btu/hr).  The common industry unit of measure is “MB”, thousands of Btu/hr.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</si>
  <si>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NFPA 850 in power generating plants.   NFPA 850  requires the use of an appropriate fire suppression system.
</t>
  </si>
  <si>
    <t xml:space="preserve">No UFC requirement exists for the incorporation of a loading dock as this is not a facility nor building
No elevator is provided in consonance with the Elevator Business Rules.
</t>
  </si>
  <si>
    <t xml:space="preserve">No Unified Facilities Criteria UFC requirement exists for the incorporation of overhead cranes.  
</t>
  </si>
  <si>
    <t xml:space="preserve">ASME BPVC establishes standard for boiler components and materials. 
</t>
  </si>
  <si>
    <t>Marshall &amp; Swift cost are for standard gas- and light-oil-fired boilers, complete with pumps, controls and gauges, 15 lb. pressure for steam, 30 lbs. for water.  Cost does  not include flue piping, electric wiring, pad, gas or oil piping or storage tanks.
ASME BPVC, Section IV, "Heating Boilers," 2017
Controls and Safety Devices for Automatically Fired Boilers, 2015
UFC 3-410-01, “Heating, Ventilation and Air Conditioning Systems," 1 July 2013, with Change 4 of 1 November" 2017
UFC 3-430-02FA, “Central Steam Boiler Plants," 15 May 2003, with Change 1, 1 December 2007
UFC 3-430-08N, “Central Heating Plants,” 16 January 2004
UFC 3-600-01, "Fire Protection Engineering for Facilities," 08 August 2016 with Change 2, 25 March 2018
NFPA 850, "Recommended Practice for Fire Protection for Electric Generating Plants and High Voltage Direct Current Converter Stations," 2015</t>
  </si>
  <si>
    <t xml:space="preserve">  </t>
  </si>
  <si>
    <t>Heat Distribution Line</t>
  </si>
  <si>
    <t>Steam (ST) Condensate (CNDS) Lines - Underground (Prefabricated Black Steel Pipe, Insulated (INSL) Cases), including Fittings and Testing</t>
  </si>
  <si>
    <t>Common Conduit, 2" ST &amp; 1.25" CNDS Return, in 12-3/4" INSL Case (Manholes (MH) @ 250' O.C.)</t>
  </si>
  <si>
    <t>Common Conduit, 1.5" ST &amp; 1.5" CNDS Return, in 10-3/4" INSL Case (MH @ 250' O.C.)</t>
  </si>
  <si>
    <t xml:space="preserve">Common Conduit, 1.25" ST &amp; 1.5" CNDS Return, in 10 -3/4" INSL Case (MH @ 250' O.C.) </t>
  </si>
  <si>
    <t>Single Conduit, 1.25" pipe,  in 12-3/4 " INSL Case on Supports</t>
  </si>
  <si>
    <t>Single Conduit, 1.5" pipe, in 12-3/4" INSL Case on Supports</t>
  </si>
  <si>
    <t>Single Conduit, 3" pipe, in 14"INSL Case on Supports</t>
  </si>
  <si>
    <t xml:space="preserve">Single Conduit, 4" pipe, in 14" INSL Case on Supports </t>
  </si>
  <si>
    <t>Single Conduit, 18" pipe, in 18" INSL Case on  Supports</t>
  </si>
  <si>
    <t>Hot Water (HW) Lines, Underground High Temperature, Common Conduit (Combined HW Supply &amp; Return (RET) Pipes, Prefabricated Black Steel, INSL Case, Including Wxcavation, Backfill, Fittings &amp; Testing</t>
  </si>
  <si>
    <t>1"HW &amp; 1" RET Pipe in 10-3/4" INSL Case</t>
  </si>
  <si>
    <t xml:space="preserve">1-1/2" HW &amp; 1-1/2" RET Pipe in 10-3/4" INSL Case </t>
  </si>
  <si>
    <t>2" HW &amp; 2" RET Pipe in 10-3/4" INSL Case</t>
  </si>
  <si>
    <t>3" HW &amp; 3" RET Pipe in 16" INSL Case</t>
  </si>
  <si>
    <t>4"HW &amp; 4" RET Pipe in 10" INSL Case</t>
  </si>
  <si>
    <t>Heat Gas Production Plant</t>
  </si>
  <si>
    <t>64/3</t>
  </si>
  <si>
    <t>Compressor, 20 HP</t>
  </si>
  <si>
    <t>EA to BH</t>
  </si>
  <si>
    <t>Welded Steel Pressure Tank, 45,000 GA</t>
  </si>
  <si>
    <t>Heat Gas Storage</t>
  </si>
  <si>
    <t>Welded Steel Pressure Tank, complete installation, 12,000 gal</t>
  </si>
  <si>
    <t>Heat Gas Distribution Line</t>
  </si>
  <si>
    <t>Gas Main, 4" plastic</t>
  </si>
  <si>
    <t>Gas Main, 3" Steel</t>
  </si>
  <si>
    <t>Refrigeration and Air Conditioning Source</t>
  </si>
  <si>
    <t>53/5</t>
  </si>
  <si>
    <t>Engineered System, installation, power,
connections, and all ancillary item, 200 TR</t>
  </si>
  <si>
    <t>Engineered System, installation, power,
connections, and all ancillary items, 300 TR</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</si>
  <si>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</si>
  <si>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3-401-01, "Mechanical Engineering," provides general guidance for the application of mechanical engineering principles for the selection and design of refrigeration an]d air conditioning systems.
Unified Facilities Guide Specifications (UFGS) provide guidance for reciprocating, absorption, vapor compression, and centrifugal  chillers.  
UFC 4-826-10, "Design: Refrigeration Systems for Cold Storage," provides design guidance for cold storage refrigeration systems.  
</t>
  </si>
  <si>
    <t xml:space="preserve">Unified Facilities Guide Specifications (UFGS), listed below, provide guidance for the selection of materials.
</t>
  </si>
  <si>
    <t xml:space="preserve">The average quantity for this FAC is 827 TR (tons of refrigeration).  
This FAC does not represent a building and therefore has no International Building Code Occupancy Group.
</t>
  </si>
  <si>
    <t xml:space="preserve">No fire suppression system is specified for this device.  The utility plant building in which this FAC is typically located is governed by 
UFC 3-600-01, "Fire Protection Engineering for Facilities" requires compliance with National Fire Protection Association (NFPA) 850 in power generating plants, which requires the use of an appropriate fire suppression system.
</t>
  </si>
  <si>
    <t>• M&amp;S Selection Business Rule
• Fire Sprinkler Business Rule
• MILCON Cost Premium Business Rule</t>
  </si>
  <si>
    <t>Chilled Water and Refrigerant Distribution Line</t>
  </si>
  <si>
    <t>62/3</t>
  </si>
  <si>
    <t>Utility Piping, pressure pipe, 6", steel, buried</t>
  </si>
  <si>
    <t>Return Line, Same as above</t>
  </si>
  <si>
    <t>62/2</t>
  </si>
  <si>
    <t>Valve steel, general duty, 6", 1 per 316' block</t>
  </si>
  <si>
    <t>Valve to LF</t>
  </si>
  <si>
    <t>Sewage Treatment</t>
  </si>
  <si>
    <t>Sewage Treatment Plant, Large, Municipal, 1M-5M GPD</t>
  </si>
  <si>
    <t>average/GA</t>
  </si>
  <si>
    <t>gal to KG</t>
  </si>
  <si>
    <t xml:space="preserve">Unified Facilities Criteria (UFC) 3-240-02, "Domestic Wastewater Treatment," provides design criteria for this FAC
</t>
  </si>
  <si>
    <t xml:space="preserve">Unified Facilities Guide Specifications (UFGS) provide guidance for the selection of materials.  These include the following UFGS sections:
46 20 20,"Sewage Bar Screen and Mechanical Shredder" 
46 30 13, "Advanced Oxidation Processes (AOP)"
46 43 21," Circular Clarifier Equipment"
46 61 00, "Filtration Equipment" 
46 73 00.35, "Sludge-Digester Gas, Heating, and Mixing System"
46 73 10, "Floating Cover for Sludge-Digestion Tanks"
</t>
  </si>
  <si>
    <t xml:space="preserve">The average quantity for this FAC is 1,457 KG (thousands of gallons per day).  The standard industry unit of measure is MGD, millions of gallons per day.  
This FAC does not represent a building and therefore has no International Building Code Occupancy Group.
</t>
  </si>
  <si>
    <t xml:space="preserve">No fire suppression system is specified for sewage treatment.  
</t>
  </si>
  <si>
    <t xml:space="preserve">• M&amp;S Selection Business Rule
• Fire Sprinkler Business Rule
• Overhead Crane Business Rule
• MILCON Cost Premium Business Rule
</t>
  </si>
  <si>
    <t>UFC 3-240-02, “Domestic Wastewater Treatment”, 1 November 2012
UFGS 46 20 20, “Sewage Bar Screen and Mechanical Shredder," February 2011
UFGS 46 30 13, “Advanced Oxidation Processes (AOP),” February 2011 
UFGS 46 43 21, “Circular Clarifier Equipment," February 2011, with Change 2, February 2013
UFGS 46 61 00, “Filtration Equipment," February 2011, with Change 1, August 2014
UFGS  46 73 00.35, “Sludge-Digester Gas, Heating and Mixing System," February 2011, with Change 1, August 2014
UFGS 46 73 10, “Floating Cover for Sludge-Digestion Tanks,” February 2011</t>
  </si>
  <si>
    <t>Industrial Waste Treatment</t>
  </si>
  <si>
    <t>Sewage Treatment Plant, Large, Municipal, 1M to 5M GPD</t>
  </si>
  <si>
    <t>GA to KG</t>
  </si>
  <si>
    <t>Water Separation Facility</t>
  </si>
  <si>
    <t>17/39</t>
  </si>
  <si>
    <t>Waste System Separator</t>
  </si>
  <si>
    <t>EA to KG</t>
  </si>
  <si>
    <t>Septic Tank and Drain Field</t>
  </si>
  <si>
    <t>Septic tank, installed, connected, 10,000 GA</t>
  </si>
  <si>
    <t>Drain field factor 1.25 x tank cost</t>
  </si>
  <si>
    <t>Grinder pump system</t>
  </si>
  <si>
    <t>Septic Lagoon and Settlement Ponds</t>
  </si>
  <si>
    <t>17/43</t>
  </si>
  <si>
    <t>Lagoon, Open pit, Concrete</t>
  </si>
  <si>
    <t>CF to gal</t>
  </si>
  <si>
    <t>Agitator &amp; pump</t>
  </si>
  <si>
    <t>EA to gal</t>
  </si>
  <si>
    <t>Sewage Lift Stations</t>
  </si>
  <si>
    <t>Sewage Lift Station, 200,000 GPD</t>
  </si>
  <si>
    <t>Sewage Lift Station, 100 GPM</t>
  </si>
  <si>
    <t>Sewage Lift Station, 200 GPM</t>
  </si>
  <si>
    <t>Sewer and Industrial Waste Line</t>
  </si>
  <si>
    <t>Average Size of Inventory</t>
  </si>
  <si>
    <t>Sewer main, 9' Average depth, 8" plastic pipe</t>
  </si>
  <si>
    <t>Sewer lateral, 6" vitrified clay</t>
  </si>
  <si>
    <t>Average of main and lateral</t>
  </si>
  <si>
    <t>Sewer clean outs, 60' o.c., EA</t>
  </si>
  <si>
    <t>60 ft o.c.</t>
  </si>
  <si>
    <t>Sewer manholes, 400' o.c., EA</t>
  </si>
  <si>
    <t>400 ft o.c.</t>
  </si>
  <si>
    <t xml:space="preserve">Unified Facilities Criteria (UFC) 3-240-01 and American Society of Civil Engineers (ASCE) Manual of Practice (MOP) 60 provide design criteria for this FAC.
</t>
  </si>
  <si>
    <t xml:space="preserve">Unified Facilities Guide Specification (UFGS) 33 30 00  provides guidance for the selection of materials.  
</t>
  </si>
  <si>
    <t xml:space="preserve">The average quantity for this FAC is 12,674 LF (linear feet).  Sewer size (diameter) is taken in the cost estimate as the average between a “main” and a “lateral”.  Design criteria for the selection of the diameter is taken from ASCE MOP 60.  This FAC does not represent a building and therefore has no International Building Code Occupancy Group.
</t>
  </si>
  <si>
    <t xml:space="preserve">No fire suppression system is specified for underground sewage/industrial waste lines.  
</t>
  </si>
  <si>
    <t xml:space="preserve">Standards, in the form of guide specifications, Manual of Practice and a Unified Facilities Criteria, are cited above. </t>
  </si>
  <si>
    <t xml:space="preserve">UFC 3-240-01, “Wastewater Collection”, 1 November 2012, with Change 1, 1 November 2014.
UFGS 33 30 00 “Sanitary Sewers” April 2008, with Change 4, February 2016.
ASCE MOP 60, "Gravity Sanitary Sewer Design and Construction," 2nd Edition, January 1, 2007.
</t>
  </si>
  <si>
    <t>Refuse Collection and Recycling Facility</t>
  </si>
  <si>
    <t>Waste transfer and recycling buildings with tipping floor and small office, excluding equipment. Class C/D/S</t>
  </si>
  <si>
    <t>Incinerator</t>
  </si>
  <si>
    <t>62/6</t>
  </si>
  <si>
    <t>Incinerator, 2000 lb/hr extrapolated</t>
  </si>
  <si>
    <t>Feeder</t>
  </si>
  <si>
    <t>EA to TH</t>
  </si>
  <si>
    <t>Chimney, 12" round, per foot, assume 50 ft</t>
  </si>
  <si>
    <t>Service entrance, 3 Ph, 400 A</t>
  </si>
  <si>
    <t>Safety switch, 400 A</t>
  </si>
  <si>
    <t>Switchgear, 400 A, Commercial</t>
  </si>
  <si>
    <t>Circuit breakers, 400-600 A, 2 EA,240-480v</t>
  </si>
  <si>
    <t>Sanitary Landfill</t>
  </si>
  <si>
    <t>Landfill</t>
  </si>
  <si>
    <t>Cost from MILCON project P-1353, Construct Landfill, Camp Lejeune, FY2014.
Area Cost Factor derived from USACE PAX 3.2.1 Area Cost Factors, 24 April 2018.</t>
  </si>
  <si>
    <t>Hazardous Waste Landfill</t>
  </si>
  <si>
    <r>
      <t xml:space="preserve">Cost from MILCON project P-1353 Construct Landfill, Camp Lejeune, FY2014.
Area Cost Factor derived from </t>
    </r>
    <r>
      <rPr>
        <sz val="11"/>
        <color theme="1"/>
        <rFont val="Calibri"/>
        <family val="2"/>
        <scheme val="minor"/>
      </rPr>
      <t xml:space="preserve">USACE PAX 3.2.1 Area Cost Factors, 24 April 2018.
The construction cost of a hazardous waste landfill is equal to sanitary landfill as requirements are essentially identical, although operations costs differ.  The distinction between designs for hazardous waste landfills and solid waste landfills is blurring.  States now require double liners for landfills or utilize a liner with a full site lysimeter system to ensure groundwater protection and contaminant detection. To increase public acceptance and confidence in the ability of landfill systems to protect the environment, landfill designs now call for multiple liner systems for disposing of both hazardous and solid waste. </t>
    </r>
  </si>
  <si>
    <t>Water Treatment Facility</t>
  </si>
  <si>
    <t>Water Treatment Plant, Medium, 750K - 1M GPD</t>
  </si>
  <si>
    <t>GPD</t>
  </si>
  <si>
    <t xml:space="preserve">Unified Facilities Criteria (UFC) 3-230-03  provides design criteria for this FAC.
</t>
  </si>
  <si>
    <t xml:space="preserve">UFC 3-230-03  and Unified Facilities Guide Specification (UFGS) 02 51 13  provide guidance for the selection of materials.  
</t>
  </si>
  <si>
    <t>The average quantity for this FAC is 1,319 KG (thousands of gallons per day).
This FAC does not represent a building and therefore has no International Building Code Occupancy Group.</t>
  </si>
  <si>
    <t xml:space="preserve">No fire suppression system is specified for water treatment facilities.  
</t>
  </si>
  <si>
    <t xml:space="preserve">Standards, in the form of guide specifications, Manual of Practice and a UFC, are cited above. </t>
  </si>
  <si>
    <r>
      <t xml:space="preserve">UFC 3-230-03, “Water Treatment,” 1 November 2012 
</t>
    </r>
    <r>
      <rPr>
        <sz val="11"/>
        <color theme="1"/>
        <rFont val="Calibri"/>
        <family val="2"/>
        <scheme val="minor"/>
      </rPr>
      <t xml:space="preserve">UFGS 02 51 13, "Precipitation/Coagulation/Flocculation Water Treatment," 1 1 May 2010                                                                                                                                                                                                                                                                                                          UFGS 33 30 00, “Sanitary Sewers,” April 2008 </t>
    </r>
    <r>
      <rPr>
        <sz val="11"/>
        <rFont val="Calibri"/>
        <family val="2"/>
        <scheme val="minor"/>
      </rPr>
      <t xml:space="preserve">
</t>
    </r>
  </si>
  <si>
    <t>Water Storage, Potable</t>
  </si>
  <si>
    <t>USACE PAX Newsletter 3.2.2,30 May 2018</t>
  </si>
  <si>
    <t>Reservoir, Potable Water, Steel Storage Tank, Ground Level, 250,000 GA</t>
  </si>
  <si>
    <t>Reservoir, Potable Water, Steel Storage Tank, Ground Level, 500,000 GA</t>
  </si>
  <si>
    <t>Water Well, Potable</t>
  </si>
  <si>
    <t>9" casing, Average, 200 FT, $52.50/FT</t>
  </si>
  <si>
    <t>17/57</t>
  </si>
  <si>
    <t>Pump, vertical turbine, 600 gpm, 10 hp</t>
  </si>
  <si>
    <t>gpm to KG</t>
  </si>
  <si>
    <t>600 GPM = 864 KG assume service factor of 75% (conversion factor = 684)</t>
  </si>
  <si>
    <t>Water Distribution Line, Potable</t>
  </si>
  <si>
    <t>Water main, 6" ductile iron</t>
  </si>
  <si>
    <t>Water main, 6" plastic</t>
  </si>
  <si>
    <t>Water lateral, 1"</t>
  </si>
  <si>
    <t xml:space="preserve">Unified Facilities Guide (UFC) 3-230-01  provides design criteria for this FAC.
</t>
  </si>
  <si>
    <t xml:space="preserve">Unified Facilities Guide Specification (UFGS) 33 11 00  provides guidance for the selection of materials.  
</t>
  </si>
  <si>
    <t>The average quantity for this FAC is 18,204 LF (linear feet).
This FAC does not represent a building and therefore has no International Building Code Occupancy Group.</t>
  </si>
  <si>
    <t xml:space="preserve">No fire suppression system is specified for potable water distribution lines.  
</t>
  </si>
  <si>
    <t xml:space="preserve">UFC UFC 3-230-01, “Water Storage, Distribution, and Transmission, with Change 2,” 1 July 2014.
UFGS 33 11 00, “Water Utility Distribution Piping,”  February 2018.
</t>
  </si>
  <si>
    <t>Water Pump Facility, Potable</t>
  </si>
  <si>
    <t>Reference Size (GPM)</t>
  </si>
  <si>
    <t>Water Pump, Non-Potable, 1,000 GPM, 4" Diesel Pump</t>
  </si>
  <si>
    <t>KGal/Day</t>
  </si>
  <si>
    <t>Water Pump, Non-Potable, 2,000 GPM, 6" Diesel Pump</t>
  </si>
  <si>
    <t>Water Pump, 1,000 GPM, 5" Electric Pump</t>
  </si>
  <si>
    <t>Water Source, Fire Protection</t>
  </si>
  <si>
    <t>500 GPM, 4" Diesel Pump, 125 PSI, 78 HP, Including Controller, Fittings, &amp; Relief Valve, No Building</t>
  </si>
  <si>
    <t>1,000 GPM, 4" Diesel Pump, 100 PSI, 89 HP, Including Controller, Fittings, &amp; Relief Valve, No Building</t>
  </si>
  <si>
    <t>2,000 GPM, 6" Diesel Pump, 100 PSI, 167 HP, Including Controller, Fittings, &amp; Relief Valve, No Building</t>
  </si>
  <si>
    <t>1,000 GPM, 5" Electric Pump, 100 PSI, 86 HP, 3,500 RPM, Including Controller, Fittings, &amp; Relief Valve, No Building</t>
  </si>
  <si>
    <t>Water Distribution Line, Fire Protection</t>
  </si>
  <si>
    <t>Water main, 6" steel</t>
  </si>
  <si>
    <t>Fire hydrants, 300' on center, EA</t>
  </si>
  <si>
    <t>Assume 100% of system has hydrants</t>
  </si>
  <si>
    <t>Water Pump Facility, Fire Protection</t>
  </si>
  <si>
    <t>Water Source, Non-Potable</t>
  </si>
  <si>
    <t>9" casing, 200 LF, $52.50/LF</t>
  </si>
  <si>
    <t>GPM to KG</t>
  </si>
  <si>
    <t>Pump, vertical turbine, 600 GPM, 10 HP</t>
  </si>
  <si>
    <t>600 GPM = 864 KG assume service factor of 50% (conversion factor = 432)</t>
  </si>
  <si>
    <t>Water Storage, Non Potable</t>
  </si>
  <si>
    <t>61/3</t>
  </si>
  <si>
    <t>Welded steel, surface reservoir, 750,000 GA</t>
  </si>
  <si>
    <t>Welded steel, surface reservoir, 1,000,000 GA</t>
  </si>
  <si>
    <t>Tank, Elevated, High Stress, 1,000,000 GA, 75 FT height</t>
  </si>
  <si>
    <t>Water Pump Facility, Non-Potable</t>
  </si>
  <si>
    <t>Road, Surfaced</t>
  </si>
  <si>
    <t>Asphalt Road</t>
  </si>
  <si>
    <t>Linear CY</t>
  </si>
  <si>
    <t>CY to SY</t>
  </si>
  <si>
    <t>Backfill &amp; Compaction with Vibrating Roller (Asphalt Road, 18" compacted base course)</t>
  </si>
  <si>
    <t>ECY</t>
  </si>
  <si>
    <t>ECY to SY</t>
  </si>
  <si>
    <t>1-1/2" Crushed Stone Base, 6" Deep, Compacted, without Earthwork</t>
  </si>
  <si>
    <t>Surface Treatment, Tack Coat Emulsion. 15 GA/SY</t>
  </si>
  <si>
    <t>Plant Mix Asphalt, 3" Thick, Asphalt Concrete Surface Paving Wearing Course</t>
  </si>
  <si>
    <t>Concrete Road</t>
  </si>
  <si>
    <t>Backfill &amp; Compaction with Vibrating Roller (Concrete Road, 12" compacted base course)</t>
  </si>
  <si>
    <t>1-1/2" Crushed Stone Base, 4" Deep, Compacted, without Earthwork</t>
  </si>
  <si>
    <t>6" Thick, Reinforced Concrete Pavement, 4500 PSI, Fixed Form, 12' Pass, Including Joints, Finishings, Curing; no Earthwork</t>
  </si>
  <si>
    <t>Road construction assumes 12" clearing and grubbing to reach inorganic base.
2017 RPAD Assets 83% Asphalt (9,456)/  17% Concrete (1,916)</t>
  </si>
  <si>
    <t>Cast-in-Place Concrete Curb and Gutter, 6" High, 6" Thick, 24"wide (24' non-divided Roadway)</t>
  </si>
  <si>
    <t>LF to SY</t>
  </si>
  <si>
    <t>Pavement Markings, Acrylic Waterborne, 4" wide White or Yellow</t>
  </si>
  <si>
    <t>Road, Unsurfaced</t>
  </si>
  <si>
    <t>Fine Grading, Granular Subbase for Paving, +/- 1" Compaction, 3 passes, 6" Lifts</t>
  </si>
  <si>
    <t>Road construction assumes 12" clearing and grubbing to reach inorganic base.</t>
  </si>
  <si>
    <t>Vehicle Bridge</t>
  </si>
  <si>
    <t>Bridge, highway, steel median per sf</t>
  </si>
  <si>
    <t xml:space="preserve">Unified Facilities Criteria (UFC) 3-201-01  provides design criteria for this FAC.  This UFC requires design compliance with American Association of State Highway and Transportation Officials (AASHTO) "Standard Specification for Highway Bridges," including both vehicular and pedestrian bridges.
</t>
  </si>
  <si>
    <t xml:space="preserve">Material guidance is provided in AASHTO Load and Resistance Factor Design (LRFD) Bridge Design Specifications.  
</t>
  </si>
  <si>
    <t>The average quantity for this FAC is 217 SY (square yards).
This FAC does not represent a building and therefore has no International Building Code Occupancy Group.</t>
  </si>
  <si>
    <t xml:space="preserve">No fire suppression system is specified for vehicle bridges.  
</t>
  </si>
  <si>
    <t xml:space="preserve">No UFC requirement exists for the incorporation of a loading dock as this is neither a facility nor building.
No elevator is provided in consonance with the Elevator Business Rules.
</t>
  </si>
  <si>
    <t xml:space="preserve">UFC 3-201-01, “Civil Engineering,” 1 April 2018 
AASHTO, "Standard Specifications for Highway Bridges," 17th  edition, 2002
AASHTO, "LRFD Design Specification," U.S. Customary Units, 7th Edition, with 2015 and 2016 Interim Revisions
</t>
  </si>
  <si>
    <t>Vehicular Tunnel</t>
  </si>
  <si>
    <t>Assume 2 lanes wide plus shoulder: 30 ' x 20' high</t>
  </si>
  <si>
    <t>Underground walkway, per SF including HVAC and lighting</t>
  </si>
  <si>
    <t>SF to LF</t>
  </si>
  <si>
    <t>Vehicle Parking, Surfaced</t>
  </si>
  <si>
    <t>Grading - rough and finished, average</t>
  </si>
  <si>
    <t>per parking space</t>
  </si>
  <si>
    <t>Space to SY</t>
  </si>
  <si>
    <t>Drainage, average</t>
  </si>
  <si>
    <t>Paving - spaces and drives, average</t>
  </si>
  <si>
    <t>Pavement marking, striping, bumpers, average</t>
  </si>
  <si>
    <t>Electrical – lighting and wiring, average</t>
  </si>
  <si>
    <t>Planning Factor = 315 SF per space = 35 SY</t>
  </si>
  <si>
    <t xml:space="preserve">Unified Facilities Criteria (UFC) 3-250-01  provides design criteria for this FAC.  Marking guidance is provided in Unified Facilities Guide Specification (UFGS) 32 17 23. 
</t>
  </si>
  <si>
    <t xml:space="preserve">Material guidance is provided in UFC 3-250-01 , UFC 3-250-09FA, and UFGS 32 13 13.06.
</t>
  </si>
  <si>
    <t xml:space="preserve">The average quantity for this FAC is 10,683 SY.
This FAC does not represent a building and therefore has no International Building Code Occupancy Group.
</t>
  </si>
  <si>
    <t xml:space="preserve">No fire suppression system is specified for surfaced vehicle parking.  
</t>
  </si>
  <si>
    <t xml:space="preserve">Standards, in the form of guide specifications, Manual of Practice, and a UFC, are cited above. </t>
  </si>
  <si>
    <t>Vehicle Parking and Staging Area, Unsurfaced</t>
  </si>
  <si>
    <t>Vehicle Staging Area, Surfaced</t>
  </si>
  <si>
    <t xml:space="preserve">The average quantity for this FAC is 7,999 SY (square yards).
This FAC does not represent a building and therefore has no International Building Code Occupancy Group.
</t>
  </si>
  <si>
    <t xml:space="preserve">No fire suppression system is specified for surfaced vehicle staging areas.  
</t>
  </si>
  <si>
    <t>Sidewalk and Walkway</t>
  </si>
  <si>
    <t>Sidewalk, Concrete</t>
  </si>
  <si>
    <t xml:space="preserve">Unified Facilities Criteria (UFC) 3-201-01  provides design criteria for this FAC. 
</t>
  </si>
  <si>
    <t xml:space="preserve">Material guidance is provided in UFC 3-201-01 and Unified Facilities Guide Specification (UFGS) 32 16 13.
</t>
  </si>
  <si>
    <t>The average quantity for this FAC is 4,404 SY.  This FAC does not represent a building and therefore has no International Building Code Occupancy Group.</t>
  </si>
  <si>
    <t xml:space="preserve">No fire suppression system is specified for sidewalk and walkway. 
</t>
  </si>
  <si>
    <t xml:space="preserve">No UFC requirement exists for the incorporation of a loading dock and no elevator is provided as this is neither a facility nor building.  
</t>
  </si>
  <si>
    <t xml:space="preserve">UFC 3-201-01, “Civil Engineering,” 1 April 2018 
UFGS 32 16 13, “Concrete Sidewalks and Curbs and Gutters,” April 2008, with Change 2, August 2014.
</t>
  </si>
  <si>
    <t>Pedestrian Bridge</t>
  </si>
  <si>
    <t>Pedestrian bridge, steel</t>
  </si>
  <si>
    <t xml:space="preserve">Unified Facilities Criteria (UFC) 3-201-01  provides design criteria for this FAC.  This UFC requires design compliance with American Association of State Highway and Transportation Officials (AASHTO)  Standard Specification for Highway Bridges.   The AASHTO standard specification includes both vehicular and pedestrian bridges.
</t>
  </si>
  <si>
    <t xml:space="preserve">The average quantity for this FAC is 90 SY (square yards).  This FAC does not represent a building and therefore has no International Building Code Occupancy Group.
</t>
  </si>
  <si>
    <t xml:space="preserve">No fire suppression system is specified for pedestrian bridges.
</t>
  </si>
  <si>
    <t xml:space="preserve">UFC 3-201-01, “Civil Engineering,” 1 April 2018  
AASHTO, Standard Specifications for Highway Bridges, 17th edition, 2002
AASHTO, LRFD Design Specification, U.S. Customary Units, 7th Edition, with 2015 and 2016 Interim Revisions
</t>
  </si>
  <si>
    <t>Miscellaneous Paved Area</t>
  </si>
  <si>
    <t>space to SY</t>
  </si>
  <si>
    <t>Paving - spaces and drives</t>
  </si>
  <si>
    <t>Planning Factor, average = 315 SF per parking space</t>
  </si>
  <si>
    <r>
      <t xml:space="preserve">The 35  space/SY conversion is 315 SF/space </t>
    </r>
    <r>
      <rPr>
        <sz val="11"/>
        <color theme="1"/>
        <rFont val="Calibri"/>
        <family val="2"/>
      </rPr>
      <t>÷ 9 SF/SY</t>
    </r>
  </si>
  <si>
    <t xml:space="preserve">Unified Facilities Criteria (UFC) 3-250-01  provides design criteria for this FAC.  Marking guidance is provided in Unified Facilities Guide Specification (UFGS) 32 17 23 .
</t>
  </si>
  <si>
    <t xml:space="preserve">Material guidance is provided in UFC 3-250-01 , UFC 3-250-09FA,  and UFGS 32 13 13.06.
</t>
  </si>
  <si>
    <t>The average quantity for this FAC is 1,123 SY.  This FAC does not represent a building and therefore has no International Building Code Occupancy Group.</t>
  </si>
  <si>
    <t xml:space="preserve">No fire suppression system is specified for miscellaneous paved area. 
</t>
  </si>
  <si>
    <t xml:space="preserve">No UFC requirement exists for the incorporation of a loading dock and no elevator is providedas this is neither a facility nor building.
</t>
  </si>
  <si>
    <t xml:space="preserve">Standards, in the form of guide specifications, Manual of Practice and UFCs, are cited above. </t>
  </si>
  <si>
    <t>Parking Garage/Building</t>
  </si>
  <si>
    <t>Traffic Signals</t>
  </si>
  <si>
    <t>Private Sector Bid Prices</t>
  </si>
  <si>
    <t>Per Intersection</t>
  </si>
  <si>
    <t>--Loudoun County VA, 9/16</t>
  </si>
  <si>
    <t>--Weld County CO, Feb 16</t>
  </si>
  <si>
    <t xml:space="preserve">--Plymouth IN, May 2017 </t>
  </si>
  <si>
    <t>--Clovis CA bid, 11/16</t>
  </si>
  <si>
    <t>--Camarillo CA, 8/16</t>
  </si>
  <si>
    <t>--Corpus Christi TX, 5/15</t>
  </si>
  <si>
    <t>--Moore OK, 1/17</t>
  </si>
  <si>
    <t>--Union City OR, 8/15</t>
  </si>
  <si>
    <t>--Lawrence KS, 4/17</t>
  </si>
  <si>
    <t>--Olathe KS, 12/16</t>
  </si>
  <si>
    <t>Average Cost</t>
  </si>
  <si>
    <t>Railroad Track</t>
  </si>
  <si>
    <t>Railroad Spur, 115#/yard rail, per FT of track</t>
  </si>
  <si>
    <t>LF to Mile</t>
  </si>
  <si>
    <t>25% deduction for rail over 500 FT</t>
  </si>
  <si>
    <t>Miscellaneous Railroad Facility</t>
  </si>
  <si>
    <t>17/55</t>
  </si>
  <si>
    <t>Railroad Track Scales, 200 Ton capacity, reinforced concrete pit &amp; platform, steel scale mechanism</t>
  </si>
  <si>
    <t>Storm Drainage</t>
  </si>
  <si>
    <t>Average of:</t>
  </si>
  <si>
    <t>66/11</t>
  </si>
  <si>
    <t>Pipe, Drainage System, 10",  Average Cost</t>
  </si>
  <si>
    <t>Pipe, Drainage System, 12",  Average Cost</t>
  </si>
  <si>
    <t xml:space="preserve">Average Pipe Cost </t>
  </si>
  <si>
    <t>Storm Manhole, 400' o.c.</t>
  </si>
  <si>
    <t>Retaining Structure</t>
  </si>
  <si>
    <t>Concrete Foundation Wall, 6", reinforced, SF</t>
  </si>
  <si>
    <t>Hillside retaining wall add 100%</t>
  </si>
  <si>
    <t>Assume height = 8 ft</t>
  </si>
  <si>
    <t>Grounds Drainage Dams</t>
  </si>
  <si>
    <t>A1030050601</t>
  </si>
  <si>
    <t>Drainage</t>
  </si>
  <si>
    <t>G1020070101</t>
  </si>
  <si>
    <t>General Area Cleanup</t>
  </si>
  <si>
    <t>ACRE</t>
  </si>
  <si>
    <t>G1030010105</t>
  </si>
  <si>
    <t>Fine Grading, Hand</t>
  </si>
  <si>
    <t>G1030020212</t>
  </si>
  <si>
    <t>Hand Excavation, Sand/Gravel</t>
  </si>
  <si>
    <t>G1030020298</t>
  </si>
  <si>
    <t>0.38m3 (1/2 CY) Crawler Mounted, Hydraulic Excavator</t>
  </si>
  <si>
    <t>G1030040405</t>
  </si>
  <si>
    <t>950, 2.29m3 (3 CY), Delivered &amp; Dumped, Backfill W/Sand</t>
  </si>
  <si>
    <t>G1030050511</t>
  </si>
  <si>
    <t>Compact Soil W/Vibrating Plate</t>
  </si>
  <si>
    <t>G1030050514</t>
  </si>
  <si>
    <t>Compact Soil By Machine W/Roller</t>
  </si>
  <si>
    <t>G2050020201</t>
  </si>
  <si>
    <t>Sediment Fence, Temporary</t>
  </si>
  <si>
    <t>G2050030301</t>
  </si>
  <si>
    <t>Topsoil, 152.40mm (6") Lifts, Off-Site</t>
  </si>
  <si>
    <t>G2050040401</t>
  </si>
  <si>
    <t>Seeding, .67 Level &amp; .33 Slope, Hydro Spread</t>
  </si>
  <si>
    <t xml:space="preserve">PACES Input Parameters:
Project Location = Fort Myer, VA (ACF= 1.02)
Midpoint of Construction: 1 October 2017
SIOH =  0 % / Contingency = 0 % / Planning and Design = 0 % </t>
  </si>
  <si>
    <t>Average size 50,340 CY extracted from RPAD</t>
  </si>
  <si>
    <t>Levees and Dikes for Grounds Drainage</t>
  </si>
  <si>
    <t>Bulk Excavation, medium earth</t>
  </si>
  <si>
    <t>CY to LF</t>
  </si>
  <si>
    <t>Backfill and compaction, unconfined, hard earth</t>
  </si>
  <si>
    <t>Synthetic matting</t>
  </si>
  <si>
    <t>Riprap</t>
  </si>
  <si>
    <t>Gabions filled with stone, high cost</t>
  </si>
  <si>
    <t>Lawn, Hydroseeding only, average</t>
  </si>
  <si>
    <t>Assume dike is a trapezoid; 10' top, 15 foot sides, 34' base.  1 side exposed to water.  198 CU FT / LF</t>
  </si>
  <si>
    <t xml:space="preserve">   </t>
  </si>
  <si>
    <t>Storm Water Ponds</t>
  </si>
  <si>
    <t>SW Drainage Ponds, includes fence, seeding slopes, partial liner and excavation; 1/8 acre, 5' deep</t>
  </si>
  <si>
    <t>EA to MG</t>
  </si>
  <si>
    <t>SW Drainage Ponds, includes fence, seeding slopes, partial liner and excavation; 1/4 acre, 5' deep</t>
  </si>
  <si>
    <t>SW Drainage Ponds, includes fence, seeding slopes, partial liner and excavation; 3/8 acre, 5' deep</t>
  </si>
  <si>
    <t>SW Drainage Ponds, includes fence, seeding slopes, partial liner and excavation; 1/2 acre, 5' deep</t>
  </si>
  <si>
    <t>325851.432 gallons in 1 acre-foot</t>
  </si>
  <si>
    <t>,</t>
  </si>
  <si>
    <t>Boundary Fence and Wall</t>
  </si>
  <si>
    <t>Chain Link Fence,  #9 wire, 8' height, per LF, posts 2" round, 10' on center</t>
  </si>
  <si>
    <t>Add for 3-strand barbed wire</t>
  </si>
  <si>
    <t>Add 25' wide gate, 1 per 1000 LF</t>
  </si>
  <si>
    <t>EA to LF</t>
  </si>
  <si>
    <t>Add stainless steel security gate, 1 per 1,000 LF, add 30% for electrically-operated gate</t>
  </si>
  <si>
    <t>Security micro-mesh, $1.10/SF = $8.80/LF for 8' fence height</t>
  </si>
  <si>
    <t>Subtotal before deduction</t>
  </si>
  <si>
    <t>Quantity deduction for &gt;6,000 LF</t>
  </si>
  <si>
    <t>Total after deduction</t>
  </si>
  <si>
    <t xml:space="preserve">Unified Facilities Criteria (UFC) 4-022-01  provides design criteria for fences and walls; UFC 4-022-03  provides guidance for fences and gates.  American Society of Civil Engineers (ASCE) 7-10  provides design standards and material guidance for free standing walls.
</t>
  </si>
  <si>
    <t xml:space="preserve">Construction material guidance is provided in the UFCs cited above, as well as Unified Facilities Guide Specification (UFGS) 32 31 26  (material guidance for fences and gates), UFGS 32 31 13  (material guidance for chain line fences and gates), and UFGS 32 32 23 (guidance on walls).  
</t>
  </si>
  <si>
    <t xml:space="preserve">The average quantity for this FAC is 9,053 LF (linear feet).
This FAC does not represent a building and therefore has no International Building Code Occupancy Group.
</t>
  </si>
  <si>
    <t xml:space="preserve">No fire suppression system is specified for boundary fences or walls.  
</t>
  </si>
  <si>
    <t xml:space="preserve">No UFC requirement exists for the incorporation of a loading dock and no elevator is provided as this is not a building.
</t>
  </si>
  <si>
    <t xml:space="preserve">Standards, in the form of UFGSs and UFCs, are cited above. </t>
  </si>
  <si>
    <t>UFC 4-022-01, “Security Engineering:  Entry Control Facilities/Access Control Points, 27 July 2017.  
UFC 4-022-03, “Security Fences and Gates,” 1 October 2013.
ASCE 7-10, "Minimum Design Loads for Buildings and Other Structures,"  Third Printing, 2013.
UFGS 32 31 26, “Wire Fences and Gates,” 1 October 2013.                                                                                                                                                                                                                                   UFGS 32 31 13, “Chain Link Fences and Gates,”  November 2016.
UFGS 32 32 23, “Segmental Concrete Block Retaining Wall,” April 2008, with Change 1 of August 2014.</t>
  </si>
  <si>
    <t>Security Fence</t>
  </si>
  <si>
    <t>Chain Link Fence, 2" mesh, #7 wire, 12', per LF; posts (2" round or "H" posts) set in concrete, 10' on centers</t>
  </si>
  <si>
    <t>Add for barbed coils</t>
  </si>
  <si>
    <t>25' wide gate, 12' high, 1 per 1000 LF</t>
  </si>
  <si>
    <t>Add turn-style, stainless steel, 1 per 1,000 LF, plus 30% for electrically-operated gate</t>
  </si>
  <si>
    <t>Security micro-mesh, $1.10/SF = $13.20/LF for 12' fence height</t>
  </si>
  <si>
    <t>Deduction for "large installation" between 4,500 and 6,000 LF = 15%</t>
  </si>
  <si>
    <t xml:space="preserve">Unified Facilities Criteria (UFC) 4-022-03  provides design criteria for this FAC.
</t>
  </si>
  <si>
    <t xml:space="preserve">Unified Facilities Guide Specification (UFGS) 32 31 13  provides guidance for the selection of materials.  
</t>
  </si>
  <si>
    <t xml:space="preserve">The average quantity for this FAC is 5,842 LF (linear feet), based on 2,976 records in the 2017 RPAD.
This FAC does not represent a building and therefore has no International Building Code Occupancy Group.
</t>
  </si>
  <si>
    <t xml:space="preserve">No fire suppression system is specified for security fences.  
</t>
  </si>
  <si>
    <t xml:space="preserve">Standards, in the form of guide specifications, and UFC, are cited above. </t>
  </si>
  <si>
    <t xml:space="preserve">UFC 4-022-033, “Security Fences and Gates,” 1 October 2013.
UFGS 32 31 13, “Chain Link Fences and Gates,”  November 2016.
</t>
  </si>
  <si>
    <t>Navigation Revetments</t>
  </si>
  <si>
    <t>No Records</t>
  </si>
  <si>
    <t>Soil Stabilization, lime</t>
  </si>
  <si>
    <t>Rip rap</t>
  </si>
  <si>
    <t>Assume SY = 1 LF x 9 FT from shore to water</t>
  </si>
  <si>
    <t>Utility Building</t>
  </si>
  <si>
    <t>Mechanical Building, Class S</t>
  </si>
  <si>
    <t>Sprinkler, Dry System, Average, 2,500 SF</t>
  </si>
  <si>
    <t xml:space="preserve">Note: "Section" refers to the Marshall &amp; Swift (M&amp;S) Marshall Valuation Guide (MVG) section and page which contains a profile of the facility used for this FAC as well as additional information on the features included in the MVG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           
</t>
  </si>
  <si>
    <t>Unified Facilities Criteria (UFC) for Multi-Disciplinary and Facility Specific Design (UFC 3-501, "Electrical Engineering;" UFC 4-200, "Maintenance and Production Facilities;" and, UFC 4-800, "Utilities and Ground Improvements Series") are not provided for this type of facility.  
FAC 8910 aggregates 70 category codes for a variety of utility types encompassing all Services and WHS.</t>
  </si>
  <si>
    <t xml:space="preserve">No UFC criteria exist for component material.  The reference to Marshall and Swift commercial and public utility/governmental utility buildings includes metal and masonry construction. </t>
  </si>
  <si>
    <t xml:space="preserve">The average area for this FAC is 2,711 SF. 
International Building Code (IBC) Occupancy Group H.
</t>
  </si>
  <si>
    <t xml:space="preserve">UFC 3-600-01, "Fire Protection Engineering for Facilities," requires compliance with National Fire Protection Association (NFPA) 850 in power generating plants.   National Fire Protection Association (NFPA) 850 requires the use of an appropriate fire suppression system.
International Building Code Group H.
</t>
  </si>
  <si>
    <t xml:space="preserve">No UFC requirement exists for the incorporation of overhead cranes.  Because of the small average size of the FAC and the expected light-weight construction (metal building), an overhead crane is structurally improbable. </t>
  </si>
  <si>
    <t xml:space="preserve">No UFC criteria exist for component material.  The reference to Marshall and Swift commercial and governmental utility buildings includes metal and masonry construction. </t>
  </si>
  <si>
    <t>UFC 3-600-01, "Fire Protection Engineering for Facilities," 08 August 2016 with Change 2, 25 March 2018
NFPA 850, "Recommended Practice for Fire Protection for Electric Generating Plants and High Voltage Direct Current Converter Stations," Section 6.6, 2015. 
IBC, 2018 edition.</t>
  </si>
  <si>
    <t>Installation Gas Production Plant</t>
  </si>
  <si>
    <t>Armory, Class C, Average, (similar in construction to utility building)</t>
  </si>
  <si>
    <t>Loading Dock, steel piers, heavy slab, steel bumper (Assume 15 FT x 30 FT)</t>
  </si>
  <si>
    <t>Welded Steel Pressure Tank, 15,000 GA, 7 FT x 54 FT</t>
  </si>
  <si>
    <t>Average size in inventory = 1,108 SF</t>
  </si>
  <si>
    <t>Installation Gas Storage</t>
  </si>
  <si>
    <t>Welded Steel Pressure Tank, 9,000 GA, 7 FT X 35 FT</t>
  </si>
  <si>
    <t>Vehicle Scales</t>
  </si>
  <si>
    <t>Truck scales, Fixed, 50 Ton, Class S</t>
  </si>
  <si>
    <t>Miscellaneous Pump Station</t>
  </si>
  <si>
    <t>Industrial Pump, 8" suction x 6" discharge, 60 HP, 1,750 RPM</t>
  </si>
  <si>
    <t>Utility Vault / Utility Tunnel, Medium Soil, 5"-7" wall, CF</t>
  </si>
  <si>
    <t>Hazardous Waste Storage Or Disposal Facility</t>
  </si>
  <si>
    <t>Main Storage Area</t>
  </si>
  <si>
    <t>14/26</t>
  </si>
  <si>
    <t xml:space="preserve">Warehouse, Class C, Average, 5,000 SF </t>
  </si>
  <si>
    <t>Hazardous Material Drum Storage System; 2,000 lbs. pneumatic hoist, and drum lift, 78- to 156-drum capacity, 100 drums assumed</t>
  </si>
  <si>
    <t xml:space="preserve">per drum </t>
  </si>
  <si>
    <t>Drum to EA</t>
  </si>
  <si>
    <t>Sprinkler, average, wet, high hazard, 5,000 SF</t>
  </si>
  <si>
    <t>15% extra hazard addition</t>
  </si>
  <si>
    <t>Overhead door, roll-up, std. 9'x9' = 81 sf</t>
  </si>
  <si>
    <t>per sf door</t>
  </si>
  <si>
    <t>each</t>
  </si>
  <si>
    <t>Dock bumper, 10 ft length</t>
  </si>
  <si>
    <t>Satellite Storage</t>
  </si>
  <si>
    <t>Storage Cabinet meeting OSHA 1910.106 and NFPA 30 codes, 18-gauge steel, Double wall construction, manual close hinged doors</t>
  </si>
  <si>
    <t>Waste collection system/secondary containment, double drum</t>
  </si>
  <si>
    <t xml:space="preserve">The Resource Conservation and Recovery Act (RCRA), as implemented by regulation, sets the standards for hazardous waste storage and disposal.  The Defense Logistics Agency (DLA) is the designated recipient hazardous waste for storage, transport and disposal.   
</t>
  </si>
  <si>
    <t xml:space="preserve">Unified Facilities Guide Specification (UFGS) 02 81 00  provides guidance for the selection of materials.  Public Works Technical Bulletin (PWTB) 200-1-76 describes materials and design to be used for storage of hazardous materials.
</t>
  </si>
  <si>
    <t xml:space="preserve">The average quantity for this FAC is 1 EA (each)
</t>
  </si>
  <si>
    <t xml:space="preserve">When stored in a warehouse, hazardous material requires the building be classified as an “H” occupancy within the International Building Code Occupancy Group and therefore requires a sprinkler system throughout.
</t>
  </si>
  <si>
    <t xml:space="preserve">No UFC requirement exists for the incorporation of a loading dock.  However, it is reasonable to assume that waste in drums will be delivered, and therefore a loading dock is incorporated. 
No elevator is provided in consonance with the Elevator Business Rules.
</t>
  </si>
  <si>
    <t xml:space="preserve">Standards, in the form of DoD Instructions, UFGSs, a Technical Bulletin and the Code of Federal Regulations (CFR) are cited above. </t>
  </si>
  <si>
    <t xml:space="preserve">Title 42 United States Code, "The Public Health and Welfare."
40 CFR Parts 261, "Identification and Listing of Hazaardous Waste;" 262, "Standards Applicable to Generators of Hazardous Waste;"and, 266, "Standards for the Management of Specific Hazardous Wastes and Specific Types of Hazardous Waste Management Facilities (DOE)."
DoD Instruction (DoDI) 4715.06, “Environmental Compliance in the United States,” May 4, 2015.                                                                                                                                                         UFGS 02 81 00, “Transportation and Disposal of Hazardous Materials,”  1 February 2010.
PWTB 200-1-76, “Universal Waste Management and Disposal,” 23 March 2010.
</t>
  </si>
  <si>
    <t>Utility Vaults</t>
  </si>
  <si>
    <t>Assumed Size: 9' high, 10' x 10 '</t>
  </si>
  <si>
    <t>Loading Platform/Ramp</t>
  </si>
  <si>
    <t>Loading ramp, per SF, paved ramp, steel railing, for forklift</t>
  </si>
  <si>
    <t>Assume EA = 12 FT wide x 30 FT long (360 SF)</t>
  </si>
  <si>
    <t>Installation Gas Distribution Line</t>
  </si>
  <si>
    <t>Gas main, 4" plastic</t>
  </si>
  <si>
    <t>Gas main, 3" steel</t>
  </si>
  <si>
    <t>Utility Tunnel</t>
  </si>
  <si>
    <t>Utility tunnel, 3"-5" wall, medium soil, 5'x7' cross-section</t>
  </si>
  <si>
    <t>CF to LF</t>
  </si>
  <si>
    <t>Utility tunnel, 3"-5" wall, medium soil, 1'x2' cross-section</t>
  </si>
  <si>
    <t>Assume larger Tunnel = 12% of inventory</t>
  </si>
  <si>
    <t>Scaled Average</t>
  </si>
  <si>
    <t>Utility Channels</t>
  </si>
  <si>
    <t>Utility tunnel, 3"-5" wall, medium soil. 2'x2' cross-section</t>
  </si>
  <si>
    <t>Utility tunnel, 5"-7" wall, medium soil, 2'x4' cross-section</t>
  </si>
  <si>
    <t>Utility tunnel, 7"-10" wall, medium soil, 4'x4' cross-section</t>
  </si>
  <si>
    <t>Note: "Section" refers to the Marshall &amp; Swift Valuation Guide section and page which contains a profile of the facility used for this FAC as well as additional information on the features included in the Marshall and Swift facility.  The "Area Adjustment" is the "local multiplier"  (Section 99, Pages 5 thru 10) which reflects local cost conditions and is designed to adjust the basic costs to each locality.   "Current Cost Multiplier" (Section 99, Page 3) are the multipliers to update costs.  Costs in each section are updated on a three-year cycle.  The current cost multiplier is republished monthly and is based upon nationally recognized building cost indices.  As stated in Section 1 page 11 of the Marshall and Swift Valuation guide, "to obtain the current replacement value, the cost shown in each section ("refined" by additions such as sprinklers, elevators, etc.) is multiplied by the current cost multiplier and the local multiplier; that is: Unit Cost x Current Cost Multiplier x Local Multiplier = Final Replacement Cost."</t>
  </si>
  <si>
    <t xml:space="preserve">Unified Facilities Criteria (UFC) 3-430-09  provides design criteria for this FAC.
</t>
  </si>
  <si>
    <t xml:space="preserve">Unified Facilities Guide Specification (UFGS) 33 63 13.19  provides guidance for the selection of materials.  
</t>
  </si>
  <si>
    <t>The average quantity for this FAC is 12,554 LF (linear feet).
This FAC does not represent a building and therefore has no International Building Code Occupancy Group.</t>
  </si>
  <si>
    <t xml:space="preserve">No fire suppression system is specified for utility channel.
</t>
  </si>
  <si>
    <t xml:space="preserve">No UFC requirement exists for the incorporation of a loading dock and no elevator is providedas this is not a facility nor building
</t>
  </si>
  <si>
    <t xml:space="preserve"> UFC 3-430-09, “Exterior Mechanical Utility Distribution,” 16 January 2004, with Change 1, 25 March 2009
 UFGS 33 63 13.19, “Concrete Trench Hydronic and Steam Energy Distribution,”  1 February 2016
</t>
  </si>
  <si>
    <t>Miscellaneous Storage Tank and Basin</t>
  </si>
  <si>
    <t>Prorate - % of RPAD Records</t>
  </si>
  <si>
    <t>Lagoon, Clay Lined</t>
  </si>
  <si>
    <t>CF to GA</t>
  </si>
  <si>
    <t>Concrete Water Tank, 20,000 GA</t>
  </si>
  <si>
    <t>Lagoon, Concrete</t>
  </si>
  <si>
    <t>Horizontal Bulk Storage Tank, Steel, 1,500 GA</t>
  </si>
  <si>
    <t>Liquid Manure Tank, Rectangular, Covered</t>
  </si>
  <si>
    <t xml:space="preserve">Horizontal Tank, Plastic, 2,500 GA  </t>
  </si>
  <si>
    <t>Liquid Manure Tank, Round, Covered</t>
  </si>
  <si>
    <t>Vertical Welded Tank, 30,000 GA</t>
  </si>
  <si>
    <t>Prorating of CATCODEs Within FAC 8951 detailed below</t>
  </si>
  <si>
    <t xml:space="preserve">Unified Facilities Criteria (UFC) 4-832-01N provides design criteria for industrial and oily wastewater basins and tanks.  UFC 3-240-02  provides design criteria for domestic wastewater basins and tanks.  UFC 3-460-01  provides guidance for waste oil storage tank.  UFC 3-240-0  provides general guidance and design criteria for the design of a broad spectrum of wastewater collection systems, including basins and tanks.  UFC 3-201-01  provides design guidance for the design of basins.  Public Works Technical Bulletin (PWTB) 200-1-38  provides guidelines for complying with oil pollution regulations.  PWTB 200-1-87  provides design and operation guidance for central vehicle wash runoff containing oily pollutants.  Code of Federal Regulations (CFR):  40 CFR 264  and 279  provide regulatory guidance and material selection for waste basins and tanks.
</t>
  </si>
  <si>
    <t xml:space="preserve">The UFCs and CFR Parts cited above provide guidance on material selection.   
</t>
  </si>
  <si>
    <t>The average quantity for this FAC is 504,762 GA (gallons).  There are 3,375 records in the 2017 RPAD.
This FAC does not represent a building and therefore has no International Building Code Occupancy Group.</t>
  </si>
  <si>
    <t xml:space="preserve">No fire suppression system is specified for FAC.
</t>
  </si>
  <si>
    <t xml:space="preserve">No UFC requirement exists for the incorporation of a loading dock and no elevator is providedas the category codes aggregated in this FAC are not buildings.
</t>
  </si>
  <si>
    <t xml:space="preserve">Standards, in the form of guide specifications, Manual of Practice and Unified Facilities Criteria, are cited above. </t>
  </si>
  <si>
    <t>• M&amp;S Selection Business Rule
• MILCON Cost Premium Business Rule</t>
  </si>
  <si>
    <t>UFC 4-832-01N, “Design: Industrial and Oily wastewater Control,” 16 January 2004
UFC 3-240-02, “Domestic Wastewater Treatment,” 1 November 2012
UFC 3-460-01, “Design: Petroleum Fuel Facilities,”  16 August 2010, with Change 2 of 17 June 2015.  Appendix A of this UFC provides a listing of references to other standards, codes and UFCs bearing upon the design and material selection of tanks and basins. 
UFC 3-240-01, “Wastewater Collection,”  1 November 2012, with Change 1 of 1 November 2014
UFC 3-201-01, “Civil Engineering,” 1 April 2018 
PWTB 200-1-38, “Guidelines for Complying with the Oil Pollution Prevention Regulation,” 31 October 2006 
PWTB 200-1-87, “Operation and Maintenance for Central Vehicle Wash Facilities,” 3 March 2011
40 CFR Part 264, “Standard for Owners and Operators of Hazardous Waste Treatment, Storage and Disposal Facilities,” current as of March 19, 2018
40 CFR Part 279, “Standards for the Management of Used Oil,” current as of March 19, 2018</t>
  </si>
  <si>
    <t>USACE PAX Military Construction (MILCON) Program Inflation Guide</t>
  </si>
  <si>
    <t>Referenced PAX NEWLETTER for CATCODE Unit Cost</t>
  </si>
  <si>
    <t xml:space="preserve"> Reference Date of Unit Cost</t>
  </si>
  <si>
    <t>FISCAL YEAR (FY)</t>
  </si>
  <si>
    <t>DoD SPI Index (Table 4-2, UFC 3-701-1)</t>
  </si>
  <si>
    <t>Budget Guidance for Future Inflation</t>
  </si>
  <si>
    <t>Escalation Rate for FY18 RUCs</t>
  </si>
  <si>
    <t>PAX Newsletter 20 Mar 2009</t>
  </si>
  <si>
    <t>PAX Newsletter 15 Sep 2010</t>
  </si>
  <si>
    <t>PAX Newsletter 4 Jan 2011</t>
  </si>
  <si>
    <t>PAX Newsletter 28 Mar 2012</t>
  </si>
  <si>
    <t>PAX Newsletter 5 May 2013</t>
  </si>
  <si>
    <t>PAX Newsletter 24 July 2014</t>
  </si>
  <si>
    <t>PAX Newsletter 30 Sep 2015</t>
  </si>
  <si>
    <t>PAX Newsletter 16 May 2016</t>
  </si>
  <si>
    <t>PAX Newsletter 6 April 2017</t>
  </si>
  <si>
    <t>PAX Newsletter 30 May 2018</t>
  </si>
  <si>
    <t>Notes from Table 4-2/UFC 3-701-1, Military Construction Escalation Rates:</t>
  </si>
  <si>
    <t>1:  The historical index through October 2007 is the Engineering News Record Building Construction Index (ENR BCI).</t>
  </si>
  <si>
    <t>2:  The historical index from October 2007 is the DoD SPI, representing the average of the RLB Construction Cost Index, Turner Construction Cost Index, and Saylor Subcontracting Index.  DoD established the SPI to more accurately represent actual (historical) market escalation as experienced by DoD as the project owner for the type of construction in the portfolio.  Previously, DoD used the Engineering News Record Building Cost Index (BCI).  The BCI tracks the cost of three basic materials and one skilled labor type, but does not account for other pricing influences (such as risk and competition) that impact total delivered price to the project owner.  Saylor ceased publishing their index in October 2009, and the Bureau of Labor Statistics Producer Price Index (BLS PPI) for NAICS 236223 is now the third index used in the SPI computation.</t>
  </si>
  <si>
    <t>3:  Annual Inflation Guidance rates for miltary construction budget authority, published by the Under Secretary of Defense (USD) (Comptroller) on 22 December 2017, "Revision to the Preliminary Inflation Guidance for FY 2019 Budget Submission"</t>
  </si>
  <si>
    <r>
      <t xml:space="preserve">Incorporating Military Cost Premium into Replacement Unit Costs
</t>
    </r>
    <r>
      <rPr>
        <b/>
        <sz val="11"/>
        <rFont val="Calibri"/>
        <family val="2"/>
        <scheme val="minor"/>
      </rPr>
      <t>Process for calculating and implementing MilCon Cost Premium provided below</t>
    </r>
  </si>
  <si>
    <t>Law</t>
  </si>
  <si>
    <t>Federal Design Practices</t>
  </si>
  <si>
    <t>Regulation</t>
  </si>
  <si>
    <t>Guidance</t>
  </si>
  <si>
    <t>Sustainability / Energy Standards</t>
  </si>
  <si>
    <t>Davis Bacon Wage Factor</t>
  </si>
  <si>
    <t>Bonding  Insurance</t>
  </si>
  <si>
    <t>Structural Premium</t>
  </si>
  <si>
    <t>Closure Premium</t>
  </si>
  <si>
    <t>Roof Premium</t>
  </si>
  <si>
    <t>Interior Premium</t>
  </si>
  <si>
    <t>Plumbing Premium</t>
  </si>
  <si>
    <t>HVAC Premium</t>
  </si>
  <si>
    <t>Electrical Premium</t>
  </si>
  <si>
    <t>AT/FP</t>
  </si>
  <si>
    <t>Staffing Requirements</t>
  </si>
  <si>
    <t>Limited Procurement Options</t>
  </si>
  <si>
    <t>Total MCP Factor</t>
  </si>
  <si>
    <t>RPA Type</t>
  </si>
  <si>
    <t>S</t>
  </si>
  <si>
    <t>LS</t>
  </si>
  <si>
    <t>B</t>
  </si>
  <si>
    <t>ICBM PROCESSING FACILITY</t>
  </si>
  <si>
    <t>SHIP MAINTENANCE DRY DOCK</t>
  </si>
  <si>
    <t>MISCELLANEOUS PERSONNEL SHELTER</t>
  </si>
  <si>
    <t>COMMUNITY ACTIVIES / CONFERENCE CENTER</t>
  </si>
  <si>
    <t>MISCELLANEOUS MWR FACILITY</t>
  </si>
  <si>
    <t>RECREATIONAL SUPPORT BUILDING</t>
  </si>
  <si>
    <t>LIGHTNING PROTECTION SYSTEM, STAND-ALONE</t>
  </si>
  <si>
    <t>MB</t>
  </si>
  <si>
    <t>MISCELLANEOUS UTILITY FACILITY</t>
  </si>
  <si>
    <t>UTILIITY CHANNEL</t>
  </si>
  <si>
    <t>Notes:</t>
  </si>
  <si>
    <r>
      <rPr>
        <b/>
        <sz val="11"/>
        <color theme="1"/>
        <rFont val="Calibri"/>
        <family val="2"/>
        <scheme val="minor"/>
      </rPr>
      <t>1.</t>
    </r>
    <r>
      <rPr>
        <sz val="11"/>
        <color theme="1"/>
        <rFont val="Calibri"/>
        <family val="2"/>
        <scheme val="minor"/>
      </rPr>
      <t xml:space="preserve">  This additional factor is intended only for commercially sourced Replacement Unit Costs (RUCs).  It is designed to incorporate those unique premiums that Military Construction projects are affected by.  For RUCs that are modeled from a combination of military and commercial component sources, if the sum of the commercial components is greater than 50% of the total RUC, than the MCP will apply.  </t>
    </r>
  </si>
  <si>
    <r>
      <rPr>
        <b/>
        <sz val="11"/>
        <color theme="1"/>
        <rFont val="Calibri"/>
        <family val="2"/>
        <scheme val="minor"/>
      </rPr>
      <t>2.</t>
    </r>
    <r>
      <rPr>
        <sz val="11"/>
        <color theme="1"/>
        <rFont val="Calibri"/>
        <family val="2"/>
        <scheme val="minor"/>
      </rPr>
      <t xml:space="preserve"> The source for these factors is the USACE sponsored study " A Report on Construction Unit Costs; Characterizing the MILCON Cost Premium" Submitted in April 2013 by L3/Stratus.  This report defines the Milcon Cost Premium (MCP) into three broad categories; Law, Regulation, and Guidance.  Regulation is further broken down as it applies to RUCs into seven federal design practices; Structural, Closure, Roof, Interior Finishes, Plumbing, HVAC, and Electrical.  This study only inspected five facility types; Medical Dispensary and Clinic,  General Administrative Facility, Enlisted Barracks,  Child Development Center, and Elementary School.  The implementation of these premiums to other FACs is an extrapolation.  </t>
    </r>
  </si>
  <si>
    <r>
      <rPr>
        <b/>
        <sz val="11"/>
        <color theme="1"/>
        <rFont val="Calibri"/>
        <family val="2"/>
        <scheme val="minor"/>
      </rPr>
      <t>3.</t>
    </r>
    <r>
      <rPr>
        <sz val="11"/>
        <color theme="1"/>
        <rFont val="Calibri"/>
        <family val="2"/>
        <scheme val="minor"/>
      </rPr>
      <t xml:space="preserve">  Replacement Unit Costs derived from a Defense Department source (UFC Guidance Unit Costs, USACE PAX) already include these premiums, and therefor are excluded from this additional calculation.  </t>
    </r>
  </si>
  <si>
    <r>
      <rPr>
        <b/>
        <sz val="11"/>
        <color theme="1"/>
        <rFont val="Calibri"/>
        <family val="2"/>
        <scheme val="minor"/>
      </rPr>
      <t>4.</t>
    </r>
    <r>
      <rPr>
        <sz val="11"/>
        <color theme="1"/>
        <rFont val="Calibri"/>
        <family val="2"/>
        <scheme val="minor"/>
      </rPr>
      <t xml:space="preserve">  The L3/Stratus report emphasizes that these factors are "non-additive", meaning they sometimes overlap in their effect and therefor can't simply be added together.  This overlap is adjusted for in this table by selecting the minimum contribution percent for each MCP component.  As the minimum total contribution to MCP by Federal Design Practices is 8.2%, the seven subordinate factors were adjusted so that their total contribution equaled 8.2%.</t>
    </r>
  </si>
  <si>
    <r>
      <rPr>
        <b/>
        <sz val="11"/>
        <color theme="1"/>
        <rFont val="Calibri"/>
        <family val="2"/>
        <scheme val="minor"/>
      </rPr>
      <t>5.</t>
    </r>
    <r>
      <rPr>
        <sz val="11"/>
        <color theme="1"/>
        <rFont val="Calibri"/>
        <family val="2"/>
        <scheme val="minor"/>
      </rPr>
      <t xml:space="preserve">  As not all MCP factors apply to all FACs, each FAC is analyzed individually for the application of each MCP factor.   </t>
    </r>
  </si>
  <si>
    <r>
      <rPr>
        <b/>
        <sz val="11"/>
        <color theme="1"/>
        <rFont val="Calibri"/>
        <family val="2"/>
        <scheme val="minor"/>
      </rPr>
      <t>5.a.</t>
    </r>
    <r>
      <rPr>
        <sz val="11"/>
        <color theme="1"/>
        <rFont val="Calibri"/>
        <family val="2"/>
        <scheme val="minor"/>
      </rPr>
      <t xml:space="preserve"> Sustainability / Energy Standards.  LEED, Executive Orders (EO), the Energy Policy Act (EPAct), and the Energy Independence and Security Act (EISA) requirements support the federal government’s strategy of lifecycle cost savings, but they do increase up-front costs, thereby contributing to the MCP.  If the typical facility in a FAC is constructed to comply with one or several of these policies, this factor is applied to the MCP total.</t>
    </r>
  </si>
  <si>
    <r>
      <rPr>
        <b/>
        <sz val="11"/>
        <color theme="1"/>
        <rFont val="Calibri"/>
        <family val="2"/>
        <scheme val="minor"/>
      </rPr>
      <t>5.b.</t>
    </r>
    <r>
      <rPr>
        <sz val="11"/>
        <color theme="1"/>
        <rFont val="Calibri"/>
        <family val="2"/>
        <scheme val="minor"/>
      </rPr>
      <t xml:space="preserve"> Davis Bacon Wage Factor.  Depending on prevailing wage rates in a particular state, Davis-Bacon may constitute an added cost when compared to a private sector job of similar scope.  It is assumed that all assets constructed for the DoD must implement the DBA, even though the DBA has been waved overseas (40 U.S.C. § 3142(a)).</t>
    </r>
  </si>
  <si>
    <r>
      <rPr>
        <b/>
        <sz val="11"/>
        <color theme="1"/>
        <rFont val="Calibri"/>
        <family val="2"/>
        <scheme val="minor"/>
      </rPr>
      <t>5.c.</t>
    </r>
    <r>
      <rPr>
        <sz val="11"/>
        <color theme="1"/>
        <rFont val="Calibri"/>
        <family val="2"/>
        <scheme val="minor"/>
      </rPr>
      <t xml:space="preserve"> Bonding  Insurance.  In accordance with FAR 28.102, all government construction projects over $150,000 are subject to the Miller Act which requires performance and payment bonds.  If the average PRV for a FAC is less than $150,000, then this premium is not applied.</t>
    </r>
  </si>
  <si>
    <r>
      <rPr>
        <b/>
        <sz val="11"/>
        <color theme="1"/>
        <rFont val="Calibri"/>
        <family val="2"/>
        <scheme val="minor"/>
      </rPr>
      <t>5.d.</t>
    </r>
    <r>
      <rPr>
        <sz val="11"/>
        <color theme="1"/>
        <rFont val="Calibri"/>
        <family val="2"/>
        <scheme val="minor"/>
      </rPr>
      <t xml:space="preserve"> Structural Premium.  UFC 3-301-01 provides supplements, replacements and additions to numerous IBC 2009 sections. These changes cover serviceability, deflection limits, occupancy category, fall prevention and  protection, live loads, snow loads, wind loads, earthquake loads, structural tests and special inspections, vibratory loads, reinforcement, frost line depth, slab construction joints, corrosive environments, and more structural criteria.  In most cases, these changes to the IBC 2009 requirements involve more stringent requirements which must be met in the design of DOD building structures.  If the typical asset in a FAC has a significant structure, than the Structural Premium is applied.  </t>
    </r>
  </si>
  <si>
    <r>
      <rPr>
        <b/>
        <sz val="11"/>
        <color theme="1"/>
        <rFont val="Calibri"/>
        <family val="2"/>
        <scheme val="minor"/>
      </rPr>
      <t>5.e.</t>
    </r>
    <r>
      <rPr>
        <sz val="11"/>
        <color theme="1"/>
        <rFont val="Calibri"/>
        <family val="2"/>
        <scheme val="minor"/>
      </rPr>
      <t xml:space="preserve"> Closure Premium.  In general, DOD facilities used a more costly masonry veneer exterior closure systems as opposed to the less costly exterior closure systems found on the commercial projects.  In addition, a higher ratio of windows, found in DoD projects, will result in higher costs for nearly all types of closures.  If these conditions are common to a FAC, then the Closure Premium MCP factor is applied.</t>
    </r>
  </si>
  <si>
    <r>
      <rPr>
        <b/>
        <sz val="11"/>
        <color theme="1"/>
        <rFont val="Calibri"/>
        <family val="2"/>
        <scheme val="minor"/>
      </rPr>
      <t>5.f.</t>
    </r>
    <r>
      <rPr>
        <sz val="11"/>
        <color theme="1"/>
        <rFont val="Calibri"/>
        <family val="2"/>
        <scheme val="minor"/>
      </rPr>
      <t xml:space="preserve"> Roof Premium. UFC 3-110-03 is very prescriptive on the design, materials, installation, and warranty requirements. The prescriptive nature of this UFC is notable compared to other more broadly-scoped UFCs. For  example, the UFC excludes the use of various types of roofing system materials for decking, insulation, cover boards, and membranes.  If the typical asset in a FAC has any type of roof system on it, the Roof Premium is applied.</t>
    </r>
  </si>
  <si>
    <r>
      <rPr>
        <b/>
        <sz val="11"/>
        <color theme="1"/>
        <rFont val="Calibri"/>
        <family val="2"/>
        <scheme val="minor"/>
      </rPr>
      <t>5.g.</t>
    </r>
    <r>
      <rPr>
        <sz val="11"/>
        <color theme="1"/>
        <rFont val="Calibri"/>
        <family val="2"/>
        <scheme val="minor"/>
      </rPr>
      <t xml:space="preserve"> Interior Premium.  There is a significant difference between allocated space for MILCON and commercial facilities. Although this could be attributable to unique features of the buildings, it is more likely to be indicative of the differences in design features between MILCON and commercial construction.  High personnel turnover rates drive a majority of the interior finish selections with DOD projects; heavier traffic wears out flooring  quicker. Frequent re-assignments and new users and administrations insist upon more flexible space arrangements.  The Interior Premium is applied to FACs that have finished interiors.  </t>
    </r>
  </si>
  <si>
    <r>
      <rPr>
        <b/>
        <sz val="11"/>
        <color theme="1"/>
        <rFont val="Calibri"/>
        <family val="2"/>
        <scheme val="minor"/>
      </rPr>
      <t>5.h.</t>
    </r>
    <r>
      <rPr>
        <sz val="11"/>
        <color theme="1"/>
        <rFont val="Calibri"/>
        <family val="2"/>
        <scheme val="minor"/>
      </rPr>
      <t xml:space="preserve"> Plumbing Premium.  The average density of plumbing fixtures in DoD buildings is greater than Commercial buildings.  The Plumbing Premium is applied to those FACs that have interior plumbing.</t>
    </r>
  </si>
  <si>
    <r>
      <rPr>
        <b/>
        <sz val="11"/>
        <color theme="1"/>
        <rFont val="Calibri"/>
        <family val="2"/>
        <scheme val="minor"/>
      </rPr>
      <t>5.i.</t>
    </r>
    <r>
      <rPr>
        <sz val="11"/>
        <color theme="1"/>
        <rFont val="Calibri"/>
        <family val="2"/>
        <scheme val="minor"/>
      </rPr>
      <t xml:space="preserve"> HVAC Premium.  DOD prefers HVAC systems with air cooled chillers for generating cooling water and gas-fired hot water boilers for generating heating water.  The private sector tends to favor HVAC systems with more economical upfront equipment costs: heat pumps, direct expansion cooling, and electric heating. Commercial facilities also use less expensive rooftop units in various cooling and heating configurations. Rooftop units are
generally discouraged by DOD owners.  The HVAC Premium is applied to those FACs that have HVAC systems.</t>
    </r>
  </si>
  <si>
    <r>
      <rPr>
        <b/>
        <sz val="11"/>
        <color theme="1"/>
        <rFont val="Calibri"/>
        <family val="2"/>
        <scheme val="minor"/>
      </rPr>
      <t>5.j.</t>
    </r>
    <r>
      <rPr>
        <sz val="11"/>
        <color theme="1"/>
        <rFont val="Calibri"/>
        <family val="2"/>
        <scheme val="minor"/>
      </rPr>
      <t xml:space="preserve"> Electrical Premium.  UFC guidance documents provide supplements, replacements, and additions to numerous sections of NFPA 70, National Electric Code. These enhancements generally involve more stringent  requirements which must be met in the design of DOD facilities and cover: Low voltage transformers, Switchgear and switchboards, Panelboards, Motor controls, Surge protective devices, Raceway, Conductors, Wiring devices, Lighting, Emergency generator/automatic transfer equipment, Grounding, and Telecom building cabling systems.   The Electrical Premium is applied to those FACs that have significant electrical systems.</t>
    </r>
  </si>
  <si>
    <r>
      <rPr>
        <b/>
        <sz val="11"/>
        <color theme="1"/>
        <rFont val="Calibri"/>
        <family val="2"/>
        <scheme val="minor"/>
      </rPr>
      <t>5.k.</t>
    </r>
    <r>
      <rPr>
        <sz val="11"/>
        <color theme="1"/>
        <rFont val="Calibri"/>
        <family val="2"/>
        <scheme val="minor"/>
      </rPr>
      <t xml:space="preserve"> Anti-Terrorism / Force Protection (AT/FP).  Special materials/systems and design considerations driven by AT/FP requirements can quickly add to project costs. In more developed areas, these costs can be especially high as the real estate for required setbacks may not be available, resulting in more robust facility construction requirements designed to resist blasts and/or prevent progressive collapse. Where setbacks can be met, additional costs include the extra land cost (for setbacks) and special materials/systems requirements (fences, vehicle gates, bollards, planters, jersey barriers, windows, doors, etc.).  The AT/FP Premium is applied to those FACs that are considered continuously occupied by personnel.  </t>
    </r>
  </si>
  <si>
    <r>
      <rPr>
        <b/>
        <sz val="11"/>
        <color theme="1"/>
        <rFont val="Calibri"/>
        <family val="2"/>
        <scheme val="minor"/>
      </rPr>
      <t>5.l.</t>
    </r>
    <r>
      <rPr>
        <sz val="11"/>
        <color theme="1"/>
        <rFont val="Calibri"/>
        <family val="2"/>
        <scheme val="minor"/>
      </rPr>
      <t xml:space="preserve"> Security Access.  The administrative process of clearing craft workers, laborers, materials suppliers and management staff for access to a DOD installation can increase general conditions costs for the contractor, and depending on threat levels, access to work sites on secure installations can result in lost time and productivity as contractors may be delayed at base entry points. The DOD requirement for contractors to exclusively employ a workforce with no criminal record and documented immigration status can also limit a contractor’s workforce.  The Security Access Premium has been omitted from the MCP calculations by the direction of the DoD Tri-Service Committee on Cost Engineering as this premium is inherent in the Area Cost Factor. </t>
    </r>
  </si>
  <si>
    <r>
      <rPr>
        <b/>
        <sz val="11"/>
        <color theme="1"/>
        <rFont val="Calibri"/>
        <family val="2"/>
        <scheme val="minor"/>
      </rPr>
      <t>5.m.</t>
    </r>
    <r>
      <rPr>
        <sz val="11"/>
        <color theme="1"/>
        <rFont val="Calibri"/>
        <family val="2"/>
        <scheme val="minor"/>
      </rPr>
      <t xml:space="preserve"> Staffing Requirements.  The experience requirements specified for certain personnel on MILCON projects can result in cost premiums as contractors must find qualified staff. Professional registration, certification,
specialized safety and training requirements are often required above and beyond what is typically necessary on a comparable private sector project.  As MILCON (&gt;$750k) projects are affected by these staffing requirements, those FACs with assets that can only be procured by a MILCON project will receive the Staffing Requirements Premium.  </t>
    </r>
  </si>
  <si>
    <r>
      <rPr>
        <b/>
        <sz val="11"/>
        <color theme="1"/>
        <rFont val="Calibri"/>
        <family val="2"/>
        <scheme val="minor"/>
      </rPr>
      <t>5.n.</t>
    </r>
    <r>
      <rPr>
        <sz val="11"/>
        <color theme="1"/>
        <rFont val="Calibri"/>
        <family val="2"/>
        <scheme val="minor"/>
      </rPr>
      <t xml:space="preserve"> Limited Procurement Options.  The FAR limits the use of innovative delivery systems to design-build and design-bid-build.  Current statutory and regulatory requirements preclude full implementation consistent with private sector best practices. As MILCON (&gt;$750k) projects are affected by these limited procurement options, those FACs with assets that can only be procured by a MILCON project will receive the  Limited Procurement Options Premium.</t>
    </r>
  </si>
  <si>
    <r>
      <rPr>
        <b/>
        <sz val="11"/>
        <color theme="1"/>
        <rFont val="Calibri"/>
        <family val="2"/>
        <scheme val="minor"/>
      </rPr>
      <t>6.</t>
    </r>
    <r>
      <rPr>
        <sz val="11"/>
        <color theme="1"/>
        <rFont val="Calibri"/>
        <family val="2"/>
        <scheme val="minor"/>
      </rPr>
      <t xml:space="preserve"> MCP components that no credible findings by the L3 / Stratus study are omitted from this calculation.  These MCP components include: Federal Contracting Requirements, Approvals/Funding/Authorizations, A/E/C Selection/Contracting Process, Planning/Scoping Process, Multiple Decision Makers, Dynamic Project Requirements.  </t>
    </r>
  </si>
  <si>
    <t>999X</t>
  </si>
  <si>
    <t>Building Class and Type Selection Business Rule for Replacement Unit Cost Development</t>
  </si>
  <si>
    <t>CLASS[1]</t>
  </si>
  <si>
    <t>FRAME</t>
  </si>
  <si>
    <t>FLOOR</t>
  </si>
  <si>
    <t>ROOF</t>
  </si>
  <si>
    <t>WALLS</t>
  </si>
  <si>
    <t>USE FOR[2]</t>
  </si>
  <si>
    <t>A</t>
  </si>
  <si>
    <t>Structural steel columns and beams, fireproofed with masonry, concrete, plaster or other noncombustible material</t>
  </si>
  <si>
    <t>Concrete on steel deck, fireproofed</t>
  </si>
  <si>
    <t>Formed concrete, precast slabs, concrete or gypsum on steel deck, fireproofed</t>
  </si>
  <si>
    <t>Nonbearing curtain walls, masonry, concrete, metal and glass panels, stone, steel studs and masonry, tile or stucco, etc</t>
  </si>
  <si>
    <t>Reinforced concrete columns and beams, fire-resistant construction</t>
  </si>
  <si>
    <t>Concrete or concrete on steel deck, fireproofed</t>
  </si>
  <si>
    <t>Facilities designed for industrial, storage, or medical purposes, except those in Class A.  FACs in 1000, 2000, 3000, 4000, and 5000 series.</t>
  </si>
  <si>
    <t>C</t>
  </si>
  <si>
    <t>Masonry or concrete loadbearing walls with or without pilasters. Masonry, concrete or curtain walls with full or partial open steel, wood or concrete frame</t>
  </si>
  <si>
    <t>Wood or concrete plank on wood or steel floor joists or concrete slab on grade</t>
  </si>
  <si>
    <t>Wood or steel joists with wood or steel deck; concrete plank</t>
  </si>
  <si>
    <t>Brick, concrete block or tile masonry, tilt-up, formed concrete, nonbearing curtain walls.</t>
  </si>
  <si>
    <t>Facilities designed for light industrial and community support.  FACs in the 6000 and 7000 series.</t>
  </si>
  <si>
    <t>Metal bents, columns, girders, purlins and girts without fireproofing, incombustible construction.</t>
  </si>
  <si>
    <t>Wood or steel deck on steel floor joists, or concrete slab on grade</t>
  </si>
  <si>
    <t>Steel or wood deck on steel joists.</t>
  </si>
  <si>
    <t>Metal skin or sandwich panels. Generally incombustible.</t>
  </si>
  <si>
    <t>Facilities designed to protect from weather facilities used for utility or industrial purpose in the 8000 series. .</t>
  </si>
  <si>
    <r>
      <t xml:space="preserve">All of the costs in the Calculator and Segregated Cost Sections are subdivided by quality for pricing purposes. It would be impossible, short of a detailed specification, to describe exactly what is meant by each quality, so proper selection is dependent upon the experience and judgment of the user.
The quality scales against which most buildings and their parts must be rated are:
</t>
    </r>
    <r>
      <rPr>
        <b/>
        <sz val="11"/>
        <color theme="1"/>
        <rFont val="Calibri"/>
        <family val="2"/>
        <scheme val="minor"/>
      </rPr>
      <t>LOW COST /  AVERAGE / GOOD / EXCELLENT</t>
    </r>
    <r>
      <rPr>
        <sz val="11"/>
        <color theme="1"/>
        <rFont val="Calibri"/>
        <family val="2"/>
        <scheme val="minor"/>
      </rPr>
      <t xml:space="preserve">
Additional classifications have been added where warranted.
For the purpose of the Manual, the Average building is representative of the majority of buildings of its occupancy and the cost is the statistically averaged cost of all buildings of its class and occupancy nationally. This must be considered by the valuator since it is very easy for an estimator  working mainly on low-cost structures to tend to overclassify, and for the estimator who is chiefly working on better properties to under classify because their ideas of an average building are different.
Usually, in cities with strong building codes, the Average building is the standard code
building with some extra trim and refinements while in an area with less exacting code provisions, the Average building could be the best building in the community depending on the occupancy. Also, certain occupancies in some areas may have stringent code requirements, funding agency constraints and/or high land values, etc., which can drive the overall costs up, so that the local standard building for pricing purposes is rated “Good”. Quality of construction is often more difficult to determine in buildings where the importance of appearance and amenities is equal to or greater than the importance of pure utility. Dwellings often present a greater problem than do commercial or industrial buildings, which are usually designed primarily for utility and strength. Moreover, dwellings represent the most numerous single type of buildings. As an aid to quality classifications, descriptions of some components of typical buildings in various occupancies, styles, and qualities are given as a guide in the Calculator Sections, as well as pictures with explanations. Section 40 contains explanations of the Segregated Cost ratings. Following are brief, general descriptions of the four basic quality levels:
</t>
    </r>
  </si>
  <si>
    <r>
      <rPr>
        <b/>
        <sz val="11"/>
        <color theme="1"/>
        <rFont val="Calibri"/>
        <family val="2"/>
        <scheme val="minor"/>
      </rPr>
      <t>LOW QUALITY</t>
    </r>
    <r>
      <rPr>
        <sz val="11"/>
        <color theme="1"/>
        <rFont val="Calibri"/>
        <family val="2"/>
        <scheme val="minor"/>
      </rPr>
      <t xml:space="preserve">
Buildings in this category are generally constructed to minimum code requirements often with little regard for architectural appearance or other amenities. They are built with minimum investment in mind. Little ornamentation is used and interior partitioning and finish is minimal and/or of low quality.
In cities with strong building codes, few low-cost buildings of certain occupancy types are built because of code requirements and the fact that it often is not economical on high-priced land. In some rural communities, the Low Quality category may contain some of the more important buildings in town. The figures in the Calculator Costs are for the center of a range of costs of buildings in the same general category, and are not for the lowest-cost buildings which could be built. In general, Low-cost dwellings are houses built to conform to a minimum building code. Substandard single-family residences which were built without any building code control are given a special classification of Cheap quality. Cheap may also be used to describe a basic shell structure which is deficient in interior finishes typical of a particular occupancy.
</t>
    </r>
  </si>
  <si>
    <t>Not used.</t>
  </si>
  <si>
    <r>
      <rPr>
        <b/>
        <sz val="11"/>
        <color theme="1"/>
        <rFont val="Calibri"/>
        <family val="2"/>
        <scheme val="minor"/>
      </rPr>
      <t>AVERAGE QUALITY</t>
    </r>
    <r>
      <rPr>
        <sz val="11"/>
        <color theme="1"/>
        <rFont val="Calibri"/>
        <family val="2"/>
        <scheme val="minor"/>
      </rPr>
      <t xml:space="preserve">
Average-quality buildings constitute the largest group of buildings constructed, approximately fifty percent of all buildings. These are generally buildings designed for maximum economic potential without some of the pride of ownership or prestige amenities of higher-quality construction. They are of good standard code construction with simple ornamentation and finishes. The basic costs, which are listed, are national averages and in the case of any particular locality, may not represent the local average quality.In dwellings, the typical Average-quality dwelling changes through the years, with today’s dwelling generally having more electric outlets and services and more plumbing fixtures. At the same time,the quality of exterior and interior finishes has been lowered to compensate for the total cost of the house.
An Average, conventional frame dwelling should have joists and wall framing that will conform to all federal, state, and local building codes. Wall construction varies in different localities and modular homes may deviate in many respects. The Average Class D dwelling of the warmer portions of the United States may not have extensive sheathing or insulation between the studs and the exterior wall finish, while this would definitely be considered substandard in a colder climate. However, the warmer climate residence will generally have more fenestration. The Fair quality is the mid-range of the so-called “starter house”.
</t>
    </r>
  </si>
  <si>
    <t>Used for all FACs, except those listed in “Good” category</t>
  </si>
  <si>
    <r>
      <rPr>
        <b/>
        <sz val="11"/>
        <color theme="1"/>
        <rFont val="Calibri"/>
        <family val="2"/>
        <scheme val="minor"/>
      </rPr>
      <t>GOOD QUALITY</t>
    </r>
    <r>
      <rPr>
        <sz val="11"/>
        <color theme="1"/>
        <rFont val="Calibri"/>
        <family val="2"/>
        <scheme val="minor"/>
      </rPr>
      <t xml:space="preserve">
Buildings designed for good appearance, comfort and convenience, as well as an element of prestige, constitute the Good Quality category. Ornamental treatment is usually of higher quality and interiors are designed for upper-class rentals. The amenities of better lighting and mechanical work are primary items in their costs.
In dwellings, the good residence is generally built to cater to the young executive or move-up market. It will be much the same construction as the Average, with more detail and higher mechanical and electrical costs and may be the standard structure in the so-called move-up community.
</t>
    </r>
  </si>
  <si>
    <t xml:space="preserve">Used only for prestige facilities in FACs 
5100 – hospital
6102 – Large Unit Headquarters
6105 – Pentagon
7386 – Ceremonial Hall
7440 - Comm Act/Conf Cntr
7601 – Museum 
</t>
  </si>
  <si>
    <r>
      <rPr>
        <b/>
        <sz val="11"/>
        <color theme="1"/>
        <rFont val="Calibri"/>
        <family val="2"/>
        <scheme val="minor"/>
      </rPr>
      <t xml:space="preserve">EXCELLENT QUALITY </t>
    </r>
    <r>
      <rPr>
        <sz val="11"/>
        <color theme="1"/>
        <rFont val="Calibri"/>
        <family val="2"/>
        <scheme val="minor"/>
      </rPr>
      <t xml:space="preserve">
Excellent buildings are normally prestige buildings. On an economic basis, part of the cost must be written off to pride of ownership and some of the income intangibly derived from advertising.
Excellent dwellings are generally built for the established professional or those with higher
incomes and will have some expensive finishes and fixtures.
The High Value quality dwelling will normally have more ornamentation, special design, and top quality materials. However, the costs listed will not be high enough for the most luxurious types of dwellings, built without regard for cost, since each listed cost represents the center of the costs within that quality range.
</t>
    </r>
  </si>
  <si>
    <r>
      <rPr>
        <b/>
        <sz val="11"/>
        <color theme="1"/>
        <rFont val="Calibri"/>
        <family val="2"/>
        <scheme val="minor"/>
      </rPr>
      <t>SUMMARY</t>
    </r>
    <r>
      <rPr>
        <sz val="11"/>
        <color theme="1"/>
        <rFont val="Calibri"/>
        <family val="2"/>
        <scheme val="minor"/>
      </rPr>
      <t xml:space="preserve">
Buildings must be compared for quality within the occupancy listed. Industrial buildings must be compared with other industrial buildings. Lofts cannot be compared with offices, and all types must be considered in the light of what is built nationally. Many localities will never have an Excellent quality building. In some localities it will be difficult to build a Low-cost building for some occupancies because of code requirements and land costs.
It is usually true that a well-framed building is a well-finished building. If the builder cuts corners on his framing, he will probably also cut corners on his finish and mechanical equipment. Cheap hardware, lighting fixtures, and millwork may be very ornamental, while, for example, the structure of a model home may be scarcely strong enough to support its beautiful tile roof; therefore, the estimator must have some idea of comparative quality of components and the occupancy as a whole.
</t>
    </r>
  </si>
  <si>
    <t>Foot Notes</t>
  </si>
  <si>
    <t xml:space="preserve">[1] The source of the class and quality of construction, above, is the Marshall &amp; Swift Valuation Service, Section 1, pages 4 – 10, January 2016.  </t>
  </si>
  <si>
    <t>[2] Section of FACs based upon structural design criteria.  See the following Unified Facilities Criteria:  UFC 3-301-01 Structural Engineering with Ch3 dated 9-12-16; UFC 3-320-06A  Concrete Floor Slabs on Grade Subjected to Heavy Loads dated 3-01-05; UFC 3-340-02 Structures to Resist the Effects of Accidental Explosions w/Ch2 dated 12-05-08.</t>
  </si>
  <si>
    <t>[3]  The avoidance of ornamentation (characteristic of the Marshall &amp; Swift “Excellent” quality of construction) is consistent with the published goals of sustainability, seismic design safety, ease of maintenance, energy conservation and the avoidance of personnel injury caused by falling ornamentation.  See the WBDG Aesthetics Subcommittee Updated:  06-14-2016.  See also "Seismic Rehabilitation of Federal Buildings: A Benefit/Cost Model," Federal Emergency Management, Agency (FEMA) 255,  01 September 1994, p 7-20.</t>
  </si>
  <si>
    <t>Elevator Business Rule</t>
  </si>
  <si>
    <t>Calculation of the Number of Elevators in a Building using the International Building Code and Toshiba Elevator Company Elevator Estimator</t>
  </si>
  <si>
    <t>Mean Average Of RPA Total Unit of Measure Quantity (SF)                    (Note 1)</t>
  </si>
  <si>
    <t>IBC Occupancy Type        (Note 2)</t>
  </si>
  <si>
    <t xml:space="preserve">Number of Stories Above Ground (Average)   (Notes 3 &amp; 6) </t>
  </si>
  <si>
    <t>Number of Stories Below Ground (Average)    (Note 3)</t>
  </si>
  <si>
    <t>Col            (F + G) -1</t>
  </si>
  <si>
    <t>Col H/   (Col F+G)</t>
  </si>
  <si>
    <t># Pers per SF by Occupancy (Note 4)</t>
  </si>
  <si>
    <t>Max        Occupancy= CoL C /  Col I</t>
  </si>
  <si>
    <t xml:space="preserve">Col I *      Col K = # of Passengers </t>
  </si>
  <si>
    <t>Col L/200 Passengers per car  =   #  of Elevators (Note 5)</t>
  </si>
  <si>
    <t># of Elevators (Rounded) (Note 6)</t>
  </si>
  <si>
    <t>I</t>
  </si>
  <si>
    <t>F</t>
  </si>
  <si>
    <t>W</t>
  </si>
  <si>
    <t>R</t>
  </si>
  <si>
    <t>M</t>
  </si>
  <si>
    <t>E</t>
  </si>
  <si>
    <t>All areas above are gross sie and derived from the 2017  Real Property Assets Database (RPAD)</t>
  </si>
  <si>
    <t>IBC Occupancy Types from 2018 International Building Code, "Use and Occupancy Classification", Chapter 3</t>
  </si>
  <si>
    <t>Average number of floors above/below ground are from the 2017 RPAD</t>
  </si>
  <si>
    <t>Number of Persons per SF by occupancy from 2018 International Building Code Table 1004.1.2 "Maximum Floor Area Allowance Per Occupant"</t>
  </si>
  <si>
    <t>Number of Persons per elevator from the Toshiba Elevator Company "Elevator Traffic Planning"</t>
  </si>
  <si>
    <t>Number of elevators is based upon the FAC area &amp; the maximum occupancy allowed by the IBC; if the average number of floors exceeds 1.5, at least one elevator will be included</t>
  </si>
  <si>
    <r>
      <t>Automatic Sprinkler Systems From International Building Code 2015 Section 903</t>
    </r>
    <r>
      <rPr>
        <b/>
        <vertAlign val="superscript"/>
        <sz val="14"/>
        <color theme="1"/>
        <rFont val="Calibri"/>
        <family val="2"/>
        <scheme val="minor"/>
      </rPr>
      <t xml:space="preserve">1 </t>
    </r>
    <r>
      <rPr>
        <b/>
        <sz val="14"/>
        <color theme="1"/>
        <rFont val="Calibri"/>
        <family val="2"/>
        <scheme val="minor"/>
      </rPr>
      <t xml:space="preserve"> </t>
    </r>
  </si>
  <si>
    <t>Occupancy</t>
  </si>
  <si>
    <t>Requirement</t>
  </si>
  <si>
    <t>A (A-1,-3, -4)</t>
  </si>
  <si>
    <t>&gt;12,000 sf</t>
  </si>
  <si>
    <t>A-2</t>
  </si>
  <si>
    <t>&gt;5,000 sf or Occupant load &gt;100 or Fire area on a floor other than level of discharge</t>
  </si>
  <si>
    <t>Ambulatory Care</t>
  </si>
  <si>
    <t>&gt;4 patients incapable of self-preservation</t>
  </si>
  <si>
    <t>&gt;5,000 sf</t>
  </si>
  <si>
    <r>
      <t>H</t>
    </r>
    <r>
      <rPr>
        <vertAlign val="superscript"/>
        <sz val="11"/>
        <color theme="1"/>
        <rFont val="Calibri"/>
        <family val="2"/>
        <scheme val="minor"/>
      </rPr>
      <t>2</t>
    </r>
  </si>
  <si>
    <t>Throughout</t>
  </si>
  <si>
    <t>U</t>
  </si>
  <si>
    <t>None</t>
  </si>
  <si>
    <r>
      <t>Occupancy Definitions (from International Building Code, Chapter 3)</t>
    </r>
    <r>
      <rPr>
        <vertAlign val="superscript"/>
        <sz val="11"/>
        <color theme="1"/>
        <rFont val="Calibri"/>
        <family val="2"/>
        <scheme val="minor"/>
      </rPr>
      <t>3</t>
    </r>
  </si>
  <si>
    <t>A: Assembly</t>
  </si>
  <si>
    <t>A1 – usually fixed seating for production and viewing performing arts and motion pictures</t>
  </si>
  <si>
    <t>A2 – intended for food, drink consumption e.g. nightclubs, restaurants, cafeterias</t>
  </si>
  <si>
    <t>A3 – intended for worship, recreation, amusement, e.g. bowling alleys, community halls, courtrooms, gymnasiums, indoor swimming pools, libraries, museums, places of worship</t>
  </si>
  <si>
    <t>A4 – intended for indoor sporting events with spectator seating</t>
  </si>
  <si>
    <t>A5 – intended for outdoor activities including bleachers, grandstands, stadiums</t>
  </si>
  <si>
    <t xml:space="preserve">B: Business  </t>
  </si>
  <si>
    <t>Intended for use as an office, professional or business use, including the storage of records. Examples include:</t>
  </si>
  <si>
    <t>o Ambulatory care facilities: Note – these are buildings or portions of buildings used for medical, surgical, psychiatric, nursing or similar care on a less than 24 hour basis to individuals who are rendered incapable of self-preservation by the services provided</t>
  </si>
  <si>
    <t>o Banks, electronic data processing</t>
  </si>
  <si>
    <t>o Laboratories for testing and research</t>
  </si>
  <si>
    <t>o Professional services (architects, engineers, attorneys, dentists, physicians, etc)</t>
  </si>
  <si>
    <t>o Clinic for outpatient services: Note – these are buildings or portions thereof used to provide medical care on less than a 24-hour basis to persons who are not rendered incapable of self-preservation by the services provided</t>
  </si>
  <si>
    <t>E: Educational</t>
  </si>
  <si>
    <t>The use of a building or a portion thereof by six or more persons at any one time for educational purposes through the 12th grade</t>
  </si>
  <si>
    <t>F: Factory</t>
  </si>
  <si>
    <t>A building or structure or portion thereof use for assembling, disassembling, fabricating, finishing, manufacturing, packaging, repair or processing operations that are not classified as Group H Hazardous or Group S Storage</t>
  </si>
  <si>
    <t>H: High-Hazard</t>
  </si>
  <si>
    <t>Use of a building or portion thereof involving manufacturing, processing generation or storage of materials that constitute a physical or health hazard in quantities in excess of those allowed in control areas (Table 307.1(1))</t>
  </si>
  <si>
    <t>I: Institutional</t>
  </si>
  <si>
    <t>A building in which care or supervision is provided to persons who are not capable of self-preservation without physical assistance or in which persons are detained for penal or correctional purposes in which the liberty of occupants is restricted</t>
  </si>
  <si>
    <t>M: Mercantile</t>
  </si>
  <si>
    <t>Use for the display and sale of merchandise and involving stocks of goods, wares or merchandise and accessible to the public. Examples include:</t>
  </si>
  <si>
    <t>o Department stores</t>
  </si>
  <si>
    <t>o Drug stores</t>
  </si>
  <si>
    <t>o Markets</t>
  </si>
  <si>
    <t>o Motor fuel dispensing facilities</t>
  </si>
  <si>
    <t>o Retail or wholesale facilities</t>
  </si>
  <si>
    <t>R: Residential</t>
  </si>
  <si>
    <t>Use of a building for sleeping purposes when not classified as Group I and not covered by the International Residential Code. Examples include:</t>
  </si>
  <si>
    <t>o Dormitories</t>
  </si>
  <si>
    <t>o Transient facilities</t>
  </si>
  <si>
    <t>o Hotels, motels</t>
  </si>
  <si>
    <t>S: Storage</t>
  </si>
  <si>
    <t>Use of a building for storage that is not classified as Group H Hazardous.</t>
  </si>
  <si>
    <t>U: Utility</t>
  </si>
  <si>
    <t>Buildings or structures of an accessory character and miscellaneous structures not classified in any other specific occupancy . Examples include:</t>
  </si>
  <si>
    <t>o Barns, fences, carports, greenhouses, private garages, sheds, retaining walls,stables, tanks, towers</t>
  </si>
  <si>
    <r>
      <t>Note that occupancy, design or materiel conditions may reduce or increase the requirement for a sprinkler or type of extinguishing system. Reference should be made to additional requirements in NFPA 101 Life Safety Code</t>
    </r>
    <r>
      <rPr>
        <vertAlign val="superscript"/>
        <sz val="11"/>
        <color theme="1"/>
        <rFont val="Calibri"/>
        <family val="2"/>
        <scheme val="minor"/>
      </rPr>
      <t>4</t>
    </r>
    <r>
      <rPr>
        <sz val="11"/>
        <color theme="1"/>
        <rFont val="Calibri"/>
        <family val="2"/>
        <scheme val="minor"/>
      </rPr>
      <t>, NFPA 13 Standard for the Installation of Sprinkler Systems</t>
    </r>
    <r>
      <rPr>
        <vertAlign val="superscript"/>
        <sz val="11"/>
        <color theme="1"/>
        <rFont val="Calibri"/>
        <family val="2"/>
        <scheme val="minor"/>
      </rPr>
      <t>5</t>
    </r>
    <r>
      <rPr>
        <sz val="11"/>
        <color theme="1"/>
        <rFont val="Calibri"/>
        <family val="2"/>
        <scheme val="minor"/>
      </rPr>
      <t xml:space="preserve"> or the International Building Code to determine the requirements for particular structures. In this business rule, a middle course for the selection of an extinguishing system is chosen, applicable to most buildings, most of the time.</t>
    </r>
  </si>
  <si>
    <t>Footnotes:</t>
  </si>
  <si>
    <t>1.  International Building Code, Chapter 9, Section 903, International Code Council, 2015</t>
  </si>
  <si>
    <t>2.  For H Occupancies, add extra hazard premium cost and early suppression system and early suppression pump</t>
  </si>
  <si>
    <t>3.  International Building Code, Chapter 3, Sections 300 – 311, International Code Council, 2015. The definitions have been summarized and are used for setting requirements for multiple purposes with the Code (e.g. structural design, means of egress, plumbing, electrical, mechanical).</t>
  </si>
  <si>
    <t>4.  National Fire Protection Association (NFPA) Life Safety Code, NFPA 101, 2015, Chapters 6 -42</t>
  </si>
  <si>
    <t>5.  NFPA Standard for the Installation of Sprinkler Systems, NFPA 13, 2016, Chapters 3, 5, 7 and 22.</t>
  </si>
  <si>
    <t>Loading Dock Footnote</t>
  </si>
  <si>
    <r>
      <t>The number of truck docks is calculated by a consideration of number of trucks arriving and loading/unloading time for the specific design.  As general guidance, the Commercial Real Estate Development Association (NAIOP) provides an estimate of the average number of loading docks per square foot of industrial or warehouse averaging 1 dock per 7,500 sf of floor space</t>
    </r>
    <r>
      <rPr>
        <vertAlign val="superscript"/>
        <sz val="11"/>
        <color theme="1"/>
        <rFont val="Calibri"/>
        <family val="2"/>
        <scheme val="minor"/>
      </rPr>
      <t>1</t>
    </r>
    <r>
      <rPr>
        <sz val="11"/>
        <color theme="1"/>
        <rFont val="Calibri"/>
        <family val="2"/>
        <scheme val="minor"/>
      </rPr>
      <t xml:space="preserve">.    For this FAC, 1 loading dock assembly is provided.  </t>
    </r>
  </si>
  <si>
    <r>
      <t>The guide specification for design of a loading dock is contained in the Unified Facilities Guide Specification</t>
    </r>
    <r>
      <rPr>
        <vertAlign val="superscript"/>
        <sz val="11"/>
        <color theme="1"/>
        <rFont val="Calibri"/>
        <family val="2"/>
        <scheme val="minor"/>
      </rPr>
      <t>2</t>
    </r>
    <r>
      <rPr>
        <sz val="11"/>
        <color theme="1"/>
        <rFont val="Calibri"/>
        <family val="2"/>
        <scheme val="minor"/>
      </rPr>
      <t>.</t>
    </r>
  </si>
  <si>
    <t> </t>
  </si>
  <si>
    <r>
      <rPr>
        <vertAlign val="superscript"/>
        <sz val="11"/>
        <color theme="1"/>
        <rFont val="Calibri"/>
        <family val="2"/>
        <scheme val="minor"/>
      </rPr>
      <t>1</t>
    </r>
    <r>
      <rPr>
        <sz val="11"/>
        <color theme="1"/>
        <rFont val="Calibri"/>
        <family val="2"/>
        <scheme val="minor"/>
      </rPr>
      <t xml:space="preserve"> Commercial Real Estate Development Association, NAIOP Research Foundation, “NAIOP Terms and Definitions: North American Office and Industrial Market, pg. 12.</t>
    </r>
  </si>
  <si>
    <r>
      <rPr>
        <vertAlign val="superscript"/>
        <sz val="11"/>
        <color theme="1"/>
        <rFont val="Calibri"/>
        <family val="2"/>
        <scheme val="minor"/>
      </rPr>
      <t>2</t>
    </r>
    <r>
      <rPr>
        <sz val="11"/>
        <color theme="1"/>
        <rFont val="Calibri"/>
        <family val="2"/>
        <scheme val="minor"/>
      </rPr>
      <t xml:space="preserve"> Unified Facility Guide Specification (UFGS)   UFGS-11 13 19.13 (August 2009)</t>
    </r>
  </si>
  <si>
    <t>Range Business Rules</t>
  </si>
  <si>
    <t>Design</t>
  </si>
  <si>
    <t>Adhere to range designs provided in TC 25-8; use FMs for specific weapons systems training/range use.</t>
  </si>
  <si>
    <t>Materials</t>
  </si>
  <si>
    <t>Select materials from current PAX Newsletter; if materials not found in PAX, use Marshall and Swift Valuation Service (see Marshall and Swift Business Rules for Class and Qualities of facilities)</t>
  </si>
  <si>
    <t>Horizontal Features</t>
  </si>
  <si>
    <t xml:space="preserve">1.       Use Concrete Reinforcing Steel Institute (CSRI) manual for rules of thumb on concrete thickness and reinforcing.
2.       Use US DOT Federal Highway Administration Gravel Roads Construction &amp; Maintenance Guide, August 2015.  </t>
  </si>
  <si>
    <t>Included facilities</t>
  </si>
  <si>
    <t>1.       Use only range design shown in TC 25-8 for facilities included.  Ancillary facilities shown on ”Standard Range Support Building Matrix” in TC 25-8 are assumed to be separately inventoried with individual property records.
2.       Supporting utilities to the range site will be excluded from the range RUC per USACE Engineering and Support Center Huntsville “Range and Training Land Program Information”, Utilities Services.</t>
  </si>
  <si>
    <t>Berm</t>
  </si>
  <si>
    <t>A common feature of ranges is the berm(s) used to attenuate debris from explosives and protect personnel from ordnance, shrapnel, and other airborne debris.  Berms are assumed to be constructed by bulldozers, piling and compacting soils.  Catcode 93410 of the current PAX Newsletter will be used to price a berm at an assumed size of 2 M x 1 M x length as shown in the typical design found in TC 25-8.</t>
  </si>
  <si>
    <t>Utilities</t>
  </si>
  <si>
    <t xml:space="preserve">The following guidance is taken from USACE Engineering and Support Center Huntsville “Range and Training Land Program Information”, Utilities Services.
1.       There is no RTLP training requirement for water or sewage on a range project.
2.       There is no RTLP training requirement for telephone or fiber optics communications between a range and the Installation.
3.       Three phase primary electrical service will be extended to the range site.  Electrical power distribution will conform to AEI and TM 5-811-1.  The range project will only pay for a “short” run of poles and power lines to bring adjacent power service to the range site.  </t>
  </si>
  <si>
    <t>RUCs requiring an adjustment for inflation (USACE PAX) are inflated using  Table 4-2 of Unified Facilities Criteria (UFC) 3-701-1.  Historical inflation is calculated using DoD Selling Price Index (SPI) (Actual) inflation.  Future inflation is calculated using Under Secretary of Defense (USD) (Comptroller) guidance, dated 22 December 2017, "Revision to the Preliminary Inflation Guidance for FY 2019 Budget Submission."  Midpoint of construction for FY 2018 RUCs is set to 1 October 2017.  Appendix C of the PAX Newsletter is based on these same inflation numbers.</t>
  </si>
  <si>
    <t>Water Launch Ramp</t>
  </si>
  <si>
    <t>Slab on Grade, 12", Reinforced</t>
  </si>
  <si>
    <t>Concrete Waterproofing, Silicone Spray, 2 coats</t>
  </si>
  <si>
    <t>Piling, Steel Pipe, Concrete filled, 10", 8 Each</t>
  </si>
  <si>
    <t>General Admin Building, High-Rise</t>
  </si>
  <si>
    <t xml:space="preserve">*New FAC: No Inventory, Assumed size is 800,000 SF </t>
  </si>
  <si>
    <t>* Assumed Number of Stories = 15</t>
  </si>
  <si>
    <t>Office Building, Class A, Good</t>
  </si>
  <si>
    <t>Facilities designed to mitigate explosive overpressures, or high rises: FACs 1491, 2121, 2123, 2125, 2136, 2152, 2153, 2154, 2161,2162, 2163, 2211, 2221, 2251, 2252, 2261, 2262, 3151, 3161, 3181, 4212, 4231, 6107</t>
  </si>
  <si>
    <t>Multistory Premium; 1/2% for each story over 3</t>
  </si>
  <si>
    <t>Sprinkler, Wet System, 500,000 SF, Good</t>
  </si>
  <si>
    <t>GENERAL ADMIN BUILDING, HIGH-RISE</t>
  </si>
  <si>
    <t>$127,196.10</t>
  </si>
  <si>
    <t>$9,694.31</t>
  </si>
  <si>
    <t>$13,632.65</t>
  </si>
  <si>
    <t>$150,523.06</t>
  </si>
  <si>
    <t>$69,363.80</t>
  </si>
  <si>
    <t>$71,512.60</t>
  </si>
  <si>
    <t>$2,938.49</t>
  </si>
  <si>
    <t>$143,814.88</t>
  </si>
  <si>
    <t>$68,256.39</t>
  </si>
  <si>
    <t>$24,352.29</t>
  </si>
  <si>
    <t>$92,608.68</t>
  </si>
  <si>
    <t>$232,148.20</t>
  </si>
  <si>
    <t>$174,204.58</t>
  </si>
  <si>
    <t>$406,352.78</t>
  </si>
  <si>
    <t>$40,174.93</t>
  </si>
  <si>
    <t>$8,112.20</t>
  </si>
  <si>
    <t>$956.60</t>
  </si>
  <si>
    <t>$49,243.73</t>
  </si>
  <si>
    <t>Tank, 6558200 L (55,000 BL), Vertical AGT</t>
  </si>
  <si>
    <t>$1,284,914.25</t>
  </si>
  <si>
    <t>$450,172.65</t>
  </si>
  <si>
    <t>$48,211.12</t>
  </si>
  <si>
    <t>$64,286.89</t>
  </si>
  <si>
    <t>$562,670.66</t>
  </si>
  <si>
    <t>$458,385.15</t>
  </si>
  <si>
    <t>$328,934.82</t>
  </si>
  <si>
    <t>$1,884.04</t>
  </si>
  <si>
    <t>$789,204.01</t>
  </si>
  <si>
    <t>$38,996.90</t>
  </si>
  <si>
    <t>$6,538.13</t>
  </si>
  <si>
    <t>$1,615.90</t>
  </si>
  <si>
    <t>$47,150.93</t>
  </si>
  <si>
    <t>$186,057.19</t>
  </si>
  <si>
    <t>$14,180.44</t>
  </si>
  <si>
    <t>$19,941.28</t>
  </si>
  <si>
    <t>$220,178.90</t>
  </si>
  <si>
    <t>$101,227.35</t>
  </si>
  <si>
    <t>$104,363.24</t>
  </si>
  <si>
    <t>$4,288.34</t>
  </si>
  <si>
    <t>$209,878.93</t>
  </si>
  <si>
    <t>$99,874.18</t>
  </si>
  <si>
    <t>$35,632.79</t>
  </si>
  <si>
    <t>$135,506.97</t>
  </si>
  <si>
    <t>$339,321.06</t>
  </si>
  <si>
    <t>$254,627.36</t>
  </si>
  <si>
    <t>$593,948.42</t>
  </si>
  <si>
    <t>$59,033.73</t>
  </si>
  <si>
    <t>$11,920.21</t>
  </si>
  <si>
    <t>$1,405.65</t>
  </si>
  <si>
    <t>$72,359.59</t>
  </si>
  <si>
    <t>$2,056,919.77</t>
  </si>
  <si>
    <t>$546,310.07</t>
  </si>
  <si>
    <t>$58,506.93</t>
  </si>
  <si>
    <t>$78,015.79</t>
  </si>
  <si>
    <t>$682,832.79</t>
  </si>
  <si>
    <t>$670,896.66</t>
  </si>
  <si>
    <t>$481,431.98</t>
  </si>
  <si>
    <t>$2,757.50</t>
  </si>
  <si>
    <t>$1,155,086.14</t>
  </si>
  <si>
    <t>$57,076.22</t>
  </si>
  <si>
    <t>$9,569.27</t>
  </si>
  <si>
    <t>$2,365.04</t>
  </si>
  <si>
    <t>$69,010.53</t>
  </si>
  <si>
    <t>$302,947.93</t>
  </si>
  <si>
    <t>$23,089.32</t>
  </si>
  <si>
    <t>$32,469.42</t>
  </si>
  <si>
    <t>$358,506.66</t>
  </si>
  <si>
    <t>$165,022.87</t>
  </si>
  <si>
    <t>$170,135.07</t>
  </si>
  <si>
    <t>$6,990.93</t>
  </si>
  <si>
    <t>$342,148.87</t>
  </si>
  <si>
    <t>$162,628.14</t>
  </si>
  <si>
    <t>$58,021.94</t>
  </si>
  <si>
    <t>$220,650.08</t>
  </si>
  <si>
    <t>$633,612.49</t>
  </si>
  <si>
    <t>$475,464.37</t>
  </si>
  <si>
    <t>$1,109,076.85</t>
  </si>
  <si>
    <t>$96,626.60</t>
  </si>
  <si>
    <t>$19,511.04</t>
  </si>
  <si>
    <t>$2,300.77</t>
  </si>
  <si>
    <t>$118,438.41</t>
  </si>
  <si>
    <t>$2,720,468.56</t>
  </si>
  <si>
    <t>$746,015.18</t>
  </si>
  <si>
    <t>$79,894.29</t>
  </si>
  <si>
    <t>$106,534.67</t>
  </si>
  <si>
    <t>$932,444.15</t>
  </si>
  <si>
    <t>$1,254,481.53</t>
  </si>
  <si>
    <t>$900,209.46</t>
  </si>
  <si>
    <t>$5,156.13</t>
  </si>
  <si>
    <t>$2,159,847.13</t>
  </si>
  <si>
    <t>$106,724.43</t>
  </si>
  <si>
    <t>$17,893.17</t>
  </si>
  <si>
    <t>$4,422.30</t>
  </si>
  <si>
    <t>$129,039.90</t>
  </si>
  <si>
    <t>PACES Input Parameters:
Area Cost Factor = 1.00
Midpoint of Construction: 1 October 2017
SIOH =  0 % / Contingency = 0 % / Planning and Design = 0 %
RUC is a weighted average of three tank sizes based on an original survey of 273 bulk above-ground storage POL tanks.</t>
  </si>
  <si>
    <t>50,000 BL Unit Cost RUC</t>
  </si>
  <si>
    <t>150,000 BL Unit Cost RUC</t>
  </si>
  <si>
    <t>$6,054,465.72</t>
  </si>
  <si>
    <t>$18,101,967.38</t>
  </si>
  <si>
    <t>$20,717.43</t>
  </si>
  <si>
    <t>$24,177,150.54</t>
  </si>
  <si>
    <t>$66,862.03</t>
  </si>
  <si>
    <t>$44,950.66</t>
  </si>
  <si>
    <t>$2,937.22</t>
  </si>
  <si>
    <t>$114,749.91</t>
  </si>
  <si>
    <t>$3,999,600.86</t>
  </si>
  <si>
    <t>$1,564,985.10</t>
  </si>
  <si>
    <t>$241,281.85</t>
  </si>
  <si>
    <t>$5,805,867.81</t>
  </si>
  <si>
    <t>$166,883.74</t>
  </si>
  <si>
    <t>$130,382.76</t>
  </si>
  <si>
    <t>$297,266.50</t>
  </si>
  <si>
    <t>$38,500.26</t>
  </si>
  <si>
    <t>$8,116.43</t>
  </si>
  <si>
    <t>$916.73</t>
  </si>
  <si>
    <t>$47,533.42</t>
  </si>
  <si>
    <t>$9,441.82</t>
  </si>
  <si>
    <t>$1,700.01</t>
  </si>
  <si>
    <t>$11.83</t>
  </si>
  <si>
    <t>$11,153.66</t>
  </si>
  <si>
    <t>$5,350.90</t>
  </si>
  <si>
    <t>$897.12</t>
  </si>
  <si>
    <t>$221.72</t>
  </si>
  <si>
    <t>$6,469.74</t>
  </si>
  <si>
    <t>PACES Input Parameters:
Area Cost Factor = 1.00
Midpoint of Construction: 1 October 2017
SIOH =  0 % / Contingency = 0 % / Planning and Design = 0 %
Designed as a Cut and Cover UGST 50,000 BBLs per original study</t>
  </si>
  <si>
    <t>Composit of Multiple FACs</t>
  </si>
  <si>
    <t>Table 2, UFC 3-701-1, 23 May 2018; 
USACE PAX Newsletter 3.2.2, 20 March 2009</t>
  </si>
  <si>
    <t>TC 25-8 Training Ranges, 22 July 2016;
USACE Ranges and Training Land Program,
8 December 2014;
USACE PAX Newsletter 3.2.2, 30 May 2018</t>
  </si>
  <si>
    <t xml:space="preserve">PACES Input Parameters:
Area Cost Factor (ACF) = 1.00
Midpoint of Construction: 1 October 2017
SIOH =  0 % / Contingency = 0 % / Planning and Design = 0 %
Designed as 1,000 LF Section of Above Ground Pipeline
</t>
  </si>
  <si>
    <t>PACES 1.3; 
UFC 3-260-01, 17 November 2008; 
UFC 3-260-02, 30 June 2001</t>
  </si>
  <si>
    <t>PACES 1.3;
UFC 3-260-01, 17 November 2008; 
UFC 3-260-02, 30 June 2001</t>
  </si>
  <si>
    <t xml:space="preserve">No UFC criteria exist for component material.  The Marshall and Swift antenna valuation includes "concrete footings, erection, painting, guy wires, lighting, platforms, and designers’ fees."  </t>
  </si>
  <si>
    <r>
      <t>Marshall &amp; Swift Valuation, Octobe</t>
    </r>
    <r>
      <rPr>
        <b/>
        <sz val="11"/>
        <color theme="1"/>
        <rFont val="Calibri"/>
        <family val="2"/>
        <scheme val="minor"/>
      </rPr>
      <t>r 2017;</t>
    </r>
    <r>
      <rPr>
        <b/>
        <sz val="11"/>
        <rFont val="Calibri"/>
        <family val="2"/>
        <scheme val="minor"/>
      </rPr>
      <t xml:space="preserve">
TC 25-8 Training Ranges, 22 July 2016;
USACE Ranges and Training Land Program,
 8 December 2014;
PAX Newsletter 3.2.2,30 May 2018</t>
    </r>
  </si>
  <si>
    <r>
      <t>Marshall &amp; Swift Valuation, Octob</t>
    </r>
    <r>
      <rPr>
        <b/>
        <sz val="11"/>
        <color theme="1"/>
        <rFont val="Calibri"/>
        <family val="2"/>
        <scheme val="minor"/>
      </rPr>
      <t>er 2017</t>
    </r>
    <r>
      <rPr>
        <b/>
        <sz val="11"/>
        <rFont val="Calibri"/>
        <family val="2"/>
        <scheme val="minor"/>
      </rPr>
      <t>;
TC 25-8 Training Ranges, 22 July 2016;
USACE Ranges and Training Land Program,
 8 December 2014;
USACE PAX Newsletter 3.2.2, 30 May 2018</t>
    </r>
  </si>
  <si>
    <r>
      <t>Marshall &amp; Swift Valuation, Octo</t>
    </r>
    <r>
      <rPr>
        <b/>
        <sz val="11"/>
        <color theme="1"/>
        <rFont val="Calibri"/>
        <family val="2"/>
        <scheme val="minor"/>
      </rPr>
      <t>ber 2017;</t>
    </r>
    <r>
      <rPr>
        <b/>
        <sz val="11"/>
        <rFont val="Calibri"/>
        <family val="2"/>
        <scheme val="minor"/>
      </rPr>
      <t xml:space="preserve">
TC 25-8 Training Ranges, 22 July 2016;
USACE Ranges and Training Land Program,
8 December 2014;
USACE PAX Newsletter 3.2.2, 30 May 2018</t>
    </r>
  </si>
  <si>
    <t>Urban Cluster / Bank Barn, 2 Story (20' x 20'), Class D, Low Cost x 6 Buildings (Use Class C multiplier)</t>
  </si>
  <si>
    <t>Inflation Adjustment
by MILCON Index</t>
  </si>
  <si>
    <t xml:space="preserve">UFC 4-510-01, "Design: Military Medical Facilities,"  01 May 2016, with Change 2,  01 November 2017.  See for example paragraphs 8-11 (Automatic Sprinkler Protection), paragraph 10-11.3 (Outdoor Air Intakes), paragraph 11-5.4 (Location and Space:  protection against flood inflow), paragraph 14-4.8 (Video Surveillance), and paragraph 17-6.4 (Gravity Chutes). 
UFC 4-720-01 Lodging Facilities; Per DoD requirements, provide accessible rooms per Table F224.2 of the ABA Accessibility Standard for DoD facilities.
FC 4-721-10N, "Navy and Marine Corps Unaccompanied Housing," 01 November 2012, with Change 6 of 20 May 2015, has been cancelled.  The Army and Air Force have not published guidance for unaccompanied housing in the DOD Unified Facilities Criteria.
UFC 3-600-01, "Fire Protection Engineering for Facilities," 08 August 2016 with Change 2, 25 March 2018.
IBC, 2018 Edition.
UFC 3-101-01, "Architecture," 28 November 2011, with Change 3, 20 June 2016.                                                                                                                                                                                          </t>
  </si>
  <si>
    <t>Sprinkler, Wet, 2,500 SF, Average</t>
  </si>
  <si>
    <t>Niche's do not come in standard size; Niche's at Arlington National Cemetary are 10"W x 14"H x 19"D, or 1.54 CF</t>
  </si>
  <si>
    <t>Niche / CF</t>
  </si>
  <si>
    <t>Utility Piping, 4" Steel, 520 FT Total Length</t>
  </si>
  <si>
    <t>Tot to BH</t>
  </si>
  <si>
    <t>Valves, Steel, Heavy Duty, 4", 4 EA</t>
  </si>
  <si>
    <t xml:space="preserve">Unified Facilities Criteria UFC 3-401-01 “Mechanical Engineering” of 1 July 2013 with Change 1, October 2015
Unified Facilities Guide Specification Section 42.22.16.00.40, “Reciprocating Process Chillers and Coolers” (August 2014)
Unified Facilities Guide Specification Section 23.64.00, “Packaged Water Chillers, Absorption Type”, November 2016
Unified Facilities Guide Specification Section 23.64.10, “Water Chillers, Vapor Compression Type”, November 2016
Unified Facilities Guide Specification Section 42.22.13.00.40, “Centrifugal Process Chillers and Coolers” (August 2014)
Unified Facilities Criteria UFC 4-826-10 “Design: Refrigeration Systems for Cold Storage”, 10 July 2002
Unified Facilities Criteria UFC 3-600-01 of 8 August 2016 with Change 1, 28 November 2016
National Fire Protection Association 850, Recommended Practice for Fire Protection for Electrical Generating Plants and High Voltage D Converter Stations, 6.6.1, 2015. 
</t>
  </si>
  <si>
    <t>Average facility size is 1,430 SF derived from 2017 RPAD Facility Table</t>
  </si>
  <si>
    <t xml:space="preserve">Marshall and Swift Valuation,
October 2017 </t>
  </si>
  <si>
    <r>
      <t xml:space="preserve">Marshall &amp; Swift Valuation, </t>
    </r>
    <r>
      <rPr>
        <b/>
        <sz val="11"/>
        <color theme="1"/>
        <rFont val="Calibri"/>
        <family val="2"/>
        <scheme val="minor"/>
      </rPr>
      <t>October 2017;</t>
    </r>
    <r>
      <rPr>
        <b/>
        <sz val="11"/>
        <rFont val="Calibri"/>
        <family val="2"/>
        <scheme val="minor"/>
      </rPr>
      <t xml:space="preserve">
TC 25-8 Training Ranges, 22 July 2016;
USACE Ranges and Training Land Program,
8 December 2014;
USACE PAX Newsletter 3.2.2, 30 May 2018</t>
    </r>
  </si>
  <si>
    <r>
      <t>Marshall &amp; Swift Valuation, Octob</t>
    </r>
    <r>
      <rPr>
        <b/>
        <sz val="11"/>
        <color theme="1"/>
        <rFont val="Calibri"/>
        <family val="2"/>
        <scheme val="minor"/>
      </rPr>
      <t>er 2017;</t>
    </r>
    <r>
      <rPr>
        <b/>
        <sz val="11"/>
        <rFont val="Calibri"/>
        <family val="2"/>
        <scheme val="minor"/>
      </rPr>
      <t xml:space="preserve">
TC 25-8 Training Ranges, 22 July 2016;
USACE Ranges and Training Land Program,
8 December 2014;
USACE PAX Newsletter 3.2.2,</t>
    </r>
    <r>
      <rPr>
        <b/>
        <sz val="11"/>
        <color theme="1"/>
        <rFont val="Calibri"/>
        <family val="2"/>
        <scheme val="minor"/>
      </rPr>
      <t xml:space="preserve"> 30 May 2018</t>
    </r>
  </si>
  <si>
    <r>
      <t>Marshall &amp; Swift Valuation, Octo</t>
    </r>
    <r>
      <rPr>
        <b/>
        <sz val="11"/>
        <color theme="1"/>
        <rFont val="Calibri"/>
        <family val="2"/>
        <scheme val="minor"/>
      </rPr>
      <t>ber 2016;</t>
    </r>
    <r>
      <rPr>
        <b/>
        <sz val="11"/>
        <rFont val="Calibri"/>
        <family val="2"/>
        <scheme val="minor"/>
      </rPr>
      <t xml:space="preserve">
TC 25-8 Training Ranges, 22 July 2016;
USACE Ranges and Training Land Program,
8 December 2014;
USACE PAX Newsletter 3.2.2,</t>
    </r>
    <r>
      <rPr>
        <b/>
        <sz val="11"/>
        <color theme="1"/>
        <rFont val="Calibri"/>
        <family val="2"/>
        <scheme val="minor"/>
      </rPr>
      <t xml:space="preserve"> 30 May 2018</t>
    </r>
  </si>
  <si>
    <r>
      <t xml:space="preserve">TC 25-8 Training Ranges, 22 July </t>
    </r>
    <r>
      <rPr>
        <b/>
        <sz val="11"/>
        <color theme="1"/>
        <rFont val="Calibri"/>
        <family val="2"/>
        <scheme val="minor"/>
      </rPr>
      <t>2016</t>
    </r>
    <r>
      <rPr>
        <b/>
        <sz val="11"/>
        <rFont val="Calibri"/>
        <family val="2"/>
        <scheme val="minor"/>
      </rPr>
      <t>;
USACE Ranges and Training Land Program,
8 December 2014;
USACE PAX Newsletter 3.2.2, 30 May 2018</t>
    </r>
  </si>
  <si>
    <t>Marshall and Swift Valuation, October 2017;
USACE PAX Newsletter 3.2.2, 30 May 2018</t>
  </si>
  <si>
    <t xml:space="preserve">UFC 3-600-01, "Fire Protection Engineering for Facilities," 08 August 2016 with Change 2, 25 March 2018
UFC 4-440-01, "Warehouse and Storage Facilities," 01 October 2014.
NFPA Standard 13, "Standard for the Installation of Fire Sprinkler Systems," 2016
Commercial Real Estate Development Association, NAIOP Research Foundation, “Commercial Real Estate Terms and Definitions," 2017.
UFGS-11 13 19.13, Loading Dock Levelers, August 2009                                                                                                                                                                                                                                       IBC, 2018 edition                         </t>
  </si>
  <si>
    <t xml:space="preserve">Army Regulation AR 215-1, “Military Morale, Welfare and Recreation Programs and Nonappropriated Fund Instrumentalities," Appendix E, "Construction Funding for Military Morale, Welfare, and Recreation Facilities," 31 July 2007.
IBC, International Code Council, 2018 edition;  Chapter 3, "Occupancy Classification."
IBC, Chapter 6, “Types of Construction.”
IBC, paragraph 903.2.1.2, "Group A-2 Automatic Sprinkler System."
</t>
  </si>
  <si>
    <t xml:space="preserve">UFC 4-750-02N, “Design: Outdoor Sports and Recreation Facilities,” 4 December 2003 
UFC 4-750-16, “Design: Military Recreation Centers,” 25 May 2005
UFGS 11 68 13, “Playground Equipment,” August 2017 
UFGS 32 18 16.13, “Playground Protective Surfacing,” August 2017
UFGS 32 31 13, “Chain Link Fences and Gates," November 2016, with Change 1, May 17
UFGS 32 92 19, “Seeding,” August 2017
UFGS 32 93 00, “Exterior Plants,” August 2017 
Jogging Trail Design size 10560 ft x 6 ft
FAC 7542 has 2,655 records, of which 1,506 are Air Force; 118 are Navy; 1,030 are Army; and 1 is WHS.
Facility sizes taken from UFC 4-750-02N.
</t>
  </si>
  <si>
    <t>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t>
  </si>
  <si>
    <t xml:space="preserve">UFC 3-250-01, “Pavement Design for Roads and Parking Areas",  14 November 2016.
UFC 3-250-09FA, “Aggregate Surfaced Roads and Airfield Areas,” 16 January 2004.
UFGS 32 13 13.06 , “Portland Cement Concrete Pavement for Roads and Site Facilities,” November 2011 with Change 2, August 2017.
UFGS 32 17 23, “Pavement Markings," August 2016.
</t>
  </si>
  <si>
    <t>Average Reference Size</t>
  </si>
  <si>
    <t>Area Cost Factor derived from USACE PAX 3.2.1 Area Cost Factors, April 2018.</t>
  </si>
  <si>
    <t>Space Modifier
(40 Spaces)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</si>
</sst>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quot;$&quot;#,##0.00"/>
    <numFmt numFmtId="165" formatCode="_(* #,##0_);_(* \(#,##0\);_(* &quot;-&quot;??_);_(@_)"/>
    <numFmt numFmtId="166" formatCode="0.0000"/>
    <numFmt numFmtId="167" formatCode="[$$-409]#,##0;[$$-409]\-#,##0"/>
    <numFmt numFmtId="168" formatCode="[$$-409]#,##0.00;\([$$-409]#,##0.00\)"/>
    <numFmt numFmtId="169" formatCode="_(* #,##0.000_);_(* \(#,##0.000\);_(* &quot;-&quot;??_);_(@_)"/>
    <numFmt numFmtId="170" formatCode="_(* #,##0.0_);_(* \(#,##0.0\);_(* &quot;-&quot;??_);_(@_)"/>
    <numFmt numFmtId="171" formatCode="_(* #,##0.0000_);_(* \(#,##0.0000\);_(* &quot;-&quot;??_);_(@_)"/>
    <numFmt numFmtId="172" formatCode="[$$-409]#,##0.00"/>
    <numFmt numFmtId="173" formatCode="0.0"/>
    <numFmt numFmtId="174" formatCode="#,##0.0"/>
    <numFmt numFmtId="175" formatCode="0.000"/>
    <numFmt numFmtId="176" formatCode="0.000000"/>
    <numFmt numFmtId="177" formatCode="_(&quot;$&quot;* #,##0_);_(&quot;$&quot;* \(#,##0\);_(&quot;$&quot;* &quot;-&quot;??_);_(@_)"/>
    <numFmt numFmtId="178" formatCode="&quot;$&quot;#,##0.00;[Red]&quot;$&quot;#,##0.00"/>
    <numFmt numFmtId="179" formatCode="&quot;$&quot;#,##0.0000_);\(&quot;$&quot;#,##0.0000\)"/>
    <numFmt numFmtId="180" formatCode="_(&quot;$&quot;* #,##0.000_);_(&quot;$&quot;* \(#,##0.000\);_(&quot;$&quot;* &quot;-&quot;??_);_(@_)"/>
    <numFmt numFmtId="181" formatCode="_(&quot;$&quot;* #,##0.00000_);_(&quot;$&quot;* \(#,##0.00000\);_(&quot;$&quot;* &quot;-&quot;??_);_(@_)"/>
    <numFmt numFmtId="182" formatCode="0.00000"/>
    <numFmt numFmtId="183" formatCode="0.0%"/>
    <numFmt numFmtId="184" formatCode="&quot;$&quot;#,##0"/>
  </numFmts>
  <fonts count="48"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name val="Times New Roman"/>
      <family val="1"/>
    </font>
    <font>
      <sz val="8"/>
      <name val="Arial"/>
      <family val="2"/>
    </font>
    <font>
      <sz val="11"/>
      <name val="Calibri"/>
      <family val="2"/>
      <scheme val="minor"/>
    </font>
    <font>
      <sz val="10"/>
      <color indexed="8"/>
      <name val="MS Sans Serif"/>
      <family val="2"/>
    </font>
    <font>
      <b/>
      <sz val="11"/>
      <name val="Calibri"/>
      <family val="2"/>
      <scheme val="minor"/>
    </font>
    <font>
      <b/>
      <sz val="9"/>
      <name val="Calibri"/>
      <family val="2"/>
      <scheme val="minor"/>
    </font>
    <font>
      <sz val="11"/>
      <color rgb="FF002060"/>
      <name val="Calibri"/>
      <family val="2"/>
      <scheme val="minor"/>
    </font>
    <font>
      <sz val="8"/>
      <color indexed="8"/>
      <name val="Arial"/>
      <family val="2"/>
    </font>
    <font>
      <u/>
      <sz val="11"/>
      <name val="Calibri"/>
      <family val="2"/>
      <scheme val="minor"/>
    </font>
    <font>
      <sz val="11"/>
      <color theme="1"/>
      <name val="Calibri"/>
      <family val="2"/>
    </font>
    <font>
      <sz val="11"/>
      <name val="Calibri"/>
      <family val="2"/>
    </font>
    <font>
      <sz val="11"/>
      <color theme="0" tint="-0.499984740745262"/>
      <name val="Calibri"/>
      <family val="2"/>
      <scheme val="minor"/>
    </font>
    <font>
      <b/>
      <sz val="9"/>
      <name val="Arial"/>
      <family val="2"/>
    </font>
    <font>
      <sz val="10"/>
      <color theme="1"/>
      <name val="Calibri"/>
      <family val="2"/>
      <scheme val="minor"/>
    </font>
    <font>
      <sz val="11"/>
      <color rgb="FF000000"/>
      <name val="Calibri"/>
      <family val="2"/>
    </font>
    <font>
      <b/>
      <sz val="10"/>
      <name val="Arial"/>
      <family val="2"/>
    </font>
    <font>
      <i/>
      <sz val="11"/>
      <name val="Calibri"/>
      <family val="2"/>
      <scheme val="minor"/>
    </font>
    <font>
      <sz val="11"/>
      <color theme="3" tint="0.39997558519241921"/>
      <name val="Calibri"/>
      <family val="2"/>
      <scheme val="minor"/>
    </font>
    <font>
      <b/>
      <sz val="16"/>
      <color theme="1"/>
      <name val="Calibri"/>
      <family val="2"/>
      <scheme val="minor"/>
    </font>
    <font>
      <sz val="11"/>
      <color theme="0" tint="-0.34998626667073579"/>
      <name val="Calibri"/>
      <family val="2"/>
      <scheme val="minor"/>
    </font>
    <font>
      <i/>
      <sz val="11"/>
      <color theme="0" tint="-0.499984740745262"/>
      <name val="Calibri"/>
      <family val="2"/>
      <scheme val="minor"/>
    </font>
    <font>
      <vertAlign val="superscript"/>
      <sz val="11"/>
      <name val="Calibri"/>
      <family val="2"/>
      <scheme val="minor"/>
    </font>
    <font>
      <b/>
      <sz val="11"/>
      <color rgb="FFFF0000"/>
      <name val="Calibri"/>
      <family val="2"/>
      <scheme val="minor"/>
    </font>
    <font>
      <sz val="10"/>
      <name val="Calibri"/>
      <family val="2"/>
      <scheme val="minor"/>
    </font>
    <font>
      <b/>
      <sz val="11"/>
      <color theme="0" tint="-0.499984740745262"/>
      <name val="Calibri"/>
      <family val="2"/>
      <scheme val="minor"/>
    </font>
    <font>
      <i/>
      <sz val="11"/>
      <color theme="1"/>
      <name val="Calibri"/>
      <family val="2"/>
      <scheme val="minor"/>
    </font>
    <font>
      <i/>
      <sz val="11"/>
      <color rgb="FFFF0000"/>
      <name val="Calibri"/>
      <family val="2"/>
      <scheme val="minor"/>
    </font>
    <font>
      <b/>
      <sz val="11"/>
      <color indexed="8"/>
      <name val="Calibri"/>
      <family val="2"/>
    </font>
    <font>
      <sz val="11"/>
      <color indexed="8"/>
      <name val="Calibri"/>
      <family val="2"/>
    </font>
    <font>
      <b/>
      <i/>
      <sz val="11"/>
      <color theme="1"/>
      <name val="Calibri"/>
      <family val="2"/>
      <scheme val="minor"/>
    </font>
    <font>
      <sz val="10"/>
      <name val="Arial"/>
      <family val="2"/>
    </font>
    <font>
      <b/>
      <sz val="14"/>
      <name val="Calibri"/>
      <family val="2"/>
      <scheme val="minor"/>
    </font>
    <font>
      <b/>
      <sz val="14"/>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sz val="10"/>
      <color indexed="8"/>
      <name val="Arial"/>
      <family val="2"/>
    </font>
    <font>
      <sz val="8"/>
      <name val="Calibri"/>
      <family val="2"/>
    </font>
    <font>
      <sz val="8"/>
      <name val="Calibri"/>
      <family val="2"/>
      <scheme val="minor"/>
    </font>
    <font>
      <b/>
      <vertAlign val="superscript"/>
      <sz val="14"/>
      <color theme="1"/>
      <name val="Calibri"/>
      <family val="2"/>
      <scheme val="minor"/>
    </font>
    <font>
      <vertAlign val="superscript"/>
      <sz val="11"/>
      <color theme="1"/>
      <name val="Calibri"/>
      <family val="2"/>
      <scheme val="minor"/>
    </font>
    <font>
      <b/>
      <u/>
      <sz val="11"/>
      <name val="Calibri"/>
      <family val="2"/>
      <scheme val="minor"/>
    </font>
  </fonts>
  <fills count="9">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theme="9" tint="0.39997558519241921"/>
        <bgColor indexed="64"/>
      </patternFill>
    </fill>
  </fills>
  <borders count="58">
    <border>
      <left/>
      <right/>
      <top/>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diagonal/>
    </border>
    <border>
      <left/>
      <right style="thin">
        <color indexed="64"/>
      </right>
      <top style="thin">
        <color indexed="64"/>
      </top>
      <bottom/>
      <diagonal/>
    </border>
    <border>
      <left style="thin">
        <color auto="1"/>
      </left>
      <right style="thin">
        <color auto="1"/>
      </right>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thin">
        <color auto="1"/>
      </top>
      <bottom style="medium">
        <color indexed="64"/>
      </bottom>
      <diagonal/>
    </border>
    <border>
      <left style="thin">
        <color auto="1"/>
      </left>
      <right/>
      <top style="medium">
        <color indexed="64"/>
      </top>
      <bottom style="thin">
        <color auto="1"/>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auto="1"/>
      </top>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8"/>
      </left>
      <right style="thin">
        <color indexed="8"/>
      </right>
      <top/>
      <bottom/>
      <diagonal/>
    </border>
    <border>
      <left/>
      <right/>
      <top style="medium">
        <color indexed="64"/>
      </top>
      <bottom/>
      <diagonal/>
    </border>
    <border>
      <left/>
      <right style="medium">
        <color indexed="64"/>
      </right>
      <top style="medium">
        <color indexed="64"/>
      </top>
      <bottom/>
      <diagonal/>
    </border>
  </borders>
  <cellStyleXfs count="9">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6" fillId="0" borderId="0"/>
    <xf numFmtId="0" fontId="9" fillId="0" borderId="0"/>
    <xf numFmtId="0" fontId="36" fillId="0" borderId="0"/>
    <xf numFmtId="0" fontId="40" fillId="0" borderId="0" applyNumberFormat="0" applyFill="0" applyBorder="0" applyAlignment="0" applyProtection="0"/>
    <xf numFmtId="0" fontId="42" fillId="0" borderId="0"/>
  </cellStyleXfs>
  <cellXfs count="2001">
    <xf numFmtId="0" fontId="0" fillId="0" borderId="0" xfId="0"/>
    <xf numFmtId="0" fontId="7" fillId="0" borderId="0" xfId="4" applyFont="1" applyFill="1" applyBorder="1" applyProtection="1"/>
    <xf numFmtId="0" fontId="4" fillId="0" borderId="5" xfId="0" applyFont="1" applyFill="1" applyBorder="1" applyAlignment="1">
      <alignment horizontal="center" vertical="center" wrapText="1"/>
    </xf>
    <xf numFmtId="0" fontId="8" fillId="0" borderId="0" xfId="4" applyFont="1" applyFill="1" applyBorder="1" applyAlignment="1" applyProtection="1">
      <alignment horizontal="center" vertical="top" wrapText="1"/>
    </xf>
    <xf numFmtId="0" fontId="0" fillId="0" borderId="7" xfId="0" applyNumberFormat="1" applyFont="1" applyFill="1" applyBorder="1" applyAlignment="1">
      <alignment horizontal="center"/>
    </xf>
    <xf numFmtId="0" fontId="0" fillId="0" borderId="8" xfId="0" applyFont="1" applyFill="1" applyBorder="1" applyAlignment="1">
      <alignment horizontal="center"/>
    </xf>
    <xf numFmtId="0" fontId="0" fillId="0" borderId="9" xfId="0" applyFill="1" applyBorder="1" applyAlignment="1">
      <alignment horizontal="center"/>
    </xf>
    <xf numFmtId="44" fontId="0" fillId="0" borderId="10" xfId="2" applyFont="1" applyFill="1" applyBorder="1"/>
    <xf numFmtId="0" fontId="7" fillId="0" borderId="0" xfId="4" applyFont="1" applyFill="1" applyProtection="1"/>
    <xf numFmtId="0" fontId="0" fillId="0" borderId="9" xfId="0" applyFont="1" applyFill="1" applyBorder="1" applyAlignment="1">
      <alignment horizontal="left" indent="1"/>
    </xf>
    <xf numFmtId="0" fontId="0" fillId="0" borderId="9" xfId="0" applyFont="1" applyFill="1" applyBorder="1" applyAlignment="1">
      <alignment horizontal="center"/>
    </xf>
    <xf numFmtId="0" fontId="0" fillId="0" borderId="9" xfId="0" applyFill="1" applyBorder="1"/>
    <xf numFmtId="44" fontId="0" fillId="0" borderId="0" xfId="2" applyFont="1" applyFill="1" applyBorder="1"/>
    <xf numFmtId="0" fontId="0" fillId="0" borderId="9" xfId="0" applyFont="1" applyFill="1" applyBorder="1"/>
    <xf numFmtId="44" fontId="0" fillId="0" borderId="9" xfId="2" applyFont="1" applyFill="1" applyBorder="1"/>
    <xf numFmtId="0" fontId="0" fillId="0" borderId="7" xfId="0" applyFont="1" applyFill="1" applyBorder="1" applyAlignment="1">
      <alignment horizontal="center"/>
    </xf>
    <xf numFmtId="165" fontId="0" fillId="0" borderId="9" xfId="1" applyNumberFormat="1" applyFont="1" applyFill="1" applyBorder="1"/>
    <xf numFmtId="44" fontId="0" fillId="0" borderId="9" xfId="2" applyFont="1" applyBorder="1"/>
    <xf numFmtId="0" fontId="8" fillId="0" borderId="9" xfId="0" applyFont="1" applyFill="1" applyBorder="1"/>
    <xf numFmtId="44" fontId="0" fillId="0" borderId="9" xfId="2" applyFont="1" applyFill="1" applyBorder="1" applyAlignment="1">
      <alignment horizontal="right"/>
    </xf>
    <xf numFmtId="0" fontId="8" fillId="0" borderId="9" xfId="0" applyFont="1" applyFill="1" applyBorder="1" applyAlignment="1">
      <alignment horizontal="center"/>
    </xf>
    <xf numFmtId="44" fontId="8" fillId="0" borderId="9" xfId="2" applyFont="1" applyBorder="1"/>
    <xf numFmtId="0" fontId="8" fillId="0" borderId="8" xfId="0" applyFont="1" applyFill="1" applyBorder="1" applyAlignment="1">
      <alignment horizontal="center"/>
    </xf>
    <xf numFmtId="44" fontId="8" fillId="0" borderId="9" xfId="2" applyFont="1" applyFill="1" applyBorder="1"/>
    <xf numFmtId="0" fontId="0" fillId="0" borderId="9" xfId="0" applyFont="1" applyBorder="1" applyAlignment="1">
      <alignment horizontal="center"/>
    </xf>
    <xf numFmtId="0" fontId="0" fillId="0" borderId="0" xfId="0" applyFill="1"/>
    <xf numFmtId="0" fontId="4" fillId="2" borderId="0" xfId="0" applyFont="1" applyFill="1" applyAlignment="1">
      <alignment horizontal="center" vertical="center"/>
    </xf>
    <xf numFmtId="0" fontId="0" fillId="0" borderId="0" xfId="0" applyAlignment="1">
      <alignment wrapText="1"/>
    </xf>
    <xf numFmtId="0" fontId="0" fillId="0" borderId="9" xfId="0" applyFont="1" applyBorder="1" applyAlignment="1">
      <alignment horizontal="left" vertical="center" wrapText="1"/>
    </xf>
    <xf numFmtId="0" fontId="0" fillId="0" borderId="9" xfId="0" applyFont="1" applyFill="1" applyBorder="1" applyAlignment="1">
      <alignment horizontal="left"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10" xfId="0" applyFont="1" applyBorder="1" applyAlignment="1">
      <alignment horizontal="left" vertical="center"/>
    </xf>
    <xf numFmtId="0" fontId="10" fillId="0" borderId="13" xfId="0" applyFont="1" applyBorder="1" applyAlignment="1">
      <alignment horizontal="left" vertical="center"/>
    </xf>
    <xf numFmtId="0" fontId="8" fillId="0" borderId="10" xfId="0" applyFont="1" applyBorder="1" applyAlignment="1">
      <alignment vertical="center" wrapText="1"/>
    </xf>
    <xf numFmtId="3" fontId="8" fillId="0" borderId="13" xfId="0" applyNumberFormat="1" applyFont="1" applyBorder="1" applyAlignment="1">
      <alignment vertical="center" wrapText="1"/>
    </xf>
    <xf numFmtId="0" fontId="8" fillId="0" borderId="10" xfId="0" applyFont="1" applyBorder="1" applyAlignment="1">
      <alignment horizontal="center" vertical="center"/>
    </xf>
    <xf numFmtId="0" fontId="8" fillId="0" borderId="13" xfId="0" applyFont="1" applyBorder="1" applyAlignment="1">
      <alignment vertical="center"/>
    </xf>
    <xf numFmtId="0" fontId="10" fillId="0" borderId="14"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0" fillId="0" borderId="0" xfId="0" applyAlignment="1">
      <alignment vertical="center"/>
    </xf>
    <xf numFmtId="0" fontId="0" fillId="0" borderId="0" xfId="0" applyAlignment="1">
      <alignment vertical="center" wrapText="1"/>
    </xf>
    <xf numFmtId="0" fontId="0" fillId="0" borderId="0" xfId="0" applyFill="1" applyBorder="1"/>
    <xf numFmtId="0" fontId="10" fillId="0" borderId="9" xfId="0" applyFont="1" applyBorder="1" applyAlignment="1">
      <alignment horizontal="center" wrapText="1"/>
    </xf>
    <xf numFmtId="0" fontId="10" fillId="0" borderId="9" xfId="0" applyFont="1" applyBorder="1" applyAlignment="1">
      <alignment horizontal="left" wrapText="1"/>
    </xf>
    <xf numFmtId="0" fontId="10" fillId="0" borderId="15" xfId="0" applyFont="1" applyBorder="1" applyAlignment="1">
      <alignment horizontal="center" wrapText="1"/>
    </xf>
    <xf numFmtId="0" fontId="10" fillId="0" borderId="15" xfId="0" applyFont="1" applyBorder="1" applyAlignment="1">
      <alignment horizontal="center"/>
    </xf>
    <xf numFmtId="0" fontId="10" fillId="0" borderId="9" xfId="0" applyFont="1" applyBorder="1" applyAlignment="1">
      <alignment horizontal="center"/>
    </xf>
    <xf numFmtId="0" fontId="0" fillId="0" borderId="0" xfId="0" applyAlignment="1"/>
    <xf numFmtId="0" fontId="0" fillId="0" borderId="0" xfId="0" applyFill="1" applyBorder="1" applyAlignment="1"/>
    <xf numFmtId="0" fontId="8" fillId="0" borderId="9" xfId="0" applyFont="1" applyBorder="1" applyAlignment="1">
      <alignment horizontal="center" vertical="center" wrapText="1"/>
    </xf>
    <xf numFmtId="0" fontId="8" fillId="0" borderId="9" xfId="0" applyFont="1" applyBorder="1" applyAlignment="1">
      <alignment horizontal="left" vertical="center" wrapText="1"/>
    </xf>
    <xf numFmtId="3" fontId="8" fillId="0" borderId="9" xfId="0" applyNumberFormat="1" applyFont="1" applyBorder="1" applyAlignment="1">
      <alignment vertical="center" wrapText="1"/>
    </xf>
    <xf numFmtId="49" fontId="8" fillId="0" borderId="9" xfId="0" applyNumberFormat="1" applyFont="1" applyBorder="1" applyAlignment="1">
      <alignment horizontal="right" vertical="center"/>
    </xf>
    <xf numFmtId="8" fontId="0" fillId="0" borderId="9" xfId="0" applyNumberFormat="1" applyBorder="1" applyAlignment="1">
      <alignment vertical="center" wrapText="1"/>
    </xf>
    <xf numFmtId="0" fontId="8" fillId="0" borderId="13"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wrapText="1"/>
    </xf>
    <xf numFmtId="0" fontId="0" fillId="0" borderId="0" xfId="0" applyBorder="1"/>
    <xf numFmtId="44" fontId="1" fillId="0" borderId="0" xfId="2" applyFont="1" applyFill="1" applyBorder="1"/>
    <xf numFmtId="0" fontId="8" fillId="0" borderId="9" xfId="0" applyFont="1" applyBorder="1" applyAlignment="1">
      <alignment horizontal="center"/>
    </xf>
    <xf numFmtId="0" fontId="8" fillId="0" borderId="9" xfId="0" applyFont="1" applyBorder="1" applyAlignment="1">
      <alignment horizontal="left"/>
    </xf>
    <xf numFmtId="0" fontId="8" fillId="0" borderId="9" xfId="0" applyFont="1" applyBorder="1"/>
    <xf numFmtId="0" fontId="0" fillId="0" borderId="9" xfId="0" applyFont="1" applyBorder="1"/>
    <xf numFmtId="0" fontId="8" fillId="0" borderId="9" xfId="0" applyFont="1" applyBorder="1" applyAlignment="1">
      <alignment horizontal="center" vertical="center"/>
    </xf>
    <xf numFmtId="8" fontId="8" fillId="0" borderId="9" xfId="0" applyNumberFormat="1" applyFont="1" applyBorder="1" applyAlignment="1">
      <alignment horizontal="right" vertical="center"/>
    </xf>
    <xf numFmtId="0" fontId="8" fillId="0" borderId="13" xfId="0" applyFont="1" applyFill="1" applyBorder="1" applyAlignment="1">
      <alignment horizontal="center" vertical="center" wrapText="1"/>
    </xf>
    <xf numFmtId="0" fontId="8" fillId="0" borderId="15" xfId="0" applyFont="1" applyBorder="1" applyAlignment="1">
      <alignment horizontal="center"/>
    </xf>
    <xf numFmtId="0" fontId="8" fillId="0" borderId="15" xfId="0" applyFont="1" applyBorder="1" applyAlignment="1">
      <alignment horizontal="left"/>
    </xf>
    <xf numFmtId="0" fontId="8" fillId="0" borderId="15" xfId="0" applyFont="1" applyBorder="1"/>
    <xf numFmtId="8" fontId="3" fillId="0" borderId="15" xfId="0" applyNumberFormat="1" applyFont="1" applyBorder="1"/>
    <xf numFmtId="8" fontId="3" fillId="0" borderId="0" xfId="0" applyNumberFormat="1" applyFont="1"/>
    <xf numFmtId="8" fontId="3" fillId="0" borderId="15" xfId="0" applyNumberFormat="1" applyFont="1" applyBorder="1" applyAlignment="1">
      <alignment horizontal="center" vertical="center"/>
    </xf>
    <xf numFmtId="0" fontId="8" fillId="0" borderId="15" xfId="0" applyFont="1" applyBorder="1" applyAlignment="1">
      <alignment horizontal="center" vertical="center"/>
    </xf>
    <xf numFmtId="44" fontId="8" fillId="0" borderId="15" xfId="2" applyFont="1" applyBorder="1" applyAlignment="1">
      <alignment horizontal="center" vertical="center"/>
    </xf>
    <xf numFmtId="0" fontId="8" fillId="2" borderId="16" xfId="0" applyFont="1" applyFill="1" applyBorder="1" applyAlignment="1">
      <alignment horizontal="center"/>
    </xf>
    <xf numFmtId="0" fontId="8" fillId="2" borderId="17" xfId="0" applyFont="1" applyFill="1" applyBorder="1" applyAlignment="1">
      <alignment horizontal="center"/>
    </xf>
    <xf numFmtId="0" fontId="8" fillId="2" borderId="18" xfId="0" applyFont="1" applyFill="1" applyBorder="1" applyAlignment="1">
      <alignment horizontal="center"/>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19" xfId="0" applyFont="1" applyBorder="1" applyAlignment="1">
      <alignment horizontal="left" vertical="center"/>
    </xf>
    <xf numFmtId="0" fontId="10" fillId="0" borderId="20" xfId="0" applyFont="1" applyBorder="1" applyAlignment="1">
      <alignment horizontal="left" vertical="center"/>
    </xf>
    <xf numFmtId="0" fontId="8" fillId="0" borderId="19" xfId="0" applyFont="1" applyBorder="1" applyAlignment="1">
      <alignment vertical="center" wrapText="1"/>
    </xf>
    <xf numFmtId="3" fontId="8" fillId="0" borderId="20" xfId="0" applyNumberFormat="1" applyFont="1" applyBorder="1" applyAlignment="1">
      <alignment vertical="center" wrapText="1"/>
    </xf>
    <xf numFmtId="0" fontId="8" fillId="0" borderId="19" xfId="0" applyFont="1" applyBorder="1" applyAlignment="1">
      <alignment horizontal="center" vertical="center"/>
    </xf>
    <xf numFmtId="0" fontId="8" fillId="0" borderId="20" xfId="0" applyFont="1" applyBorder="1" applyAlignment="1">
      <alignment vertical="center"/>
    </xf>
    <xf numFmtId="0" fontId="0" fillId="0" borderId="0" xfId="0" applyBorder="1" applyAlignment="1"/>
    <xf numFmtId="0" fontId="8" fillId="0" borderId="9" xfId="0" applyFont="1" applyBorder="1" applyAlignment="1">
      <alignment vertical="center"/>
    </xf>
    <xf numFmtId="0" fontId="8" fillId="0" borderId="8" xfId="0" applyFont="1" applyBorder="1"/>
    <xf numFmtId="0" fontId="0" fillId="0" borderId="8" xfId="0" applyFont="1" applyBorder="1"/>
    <xf numFmtId="0" fontId="8" fillId="0" borderId="8" xfId="0" applyFont="1" applyBorder="1" applyAlignment="1">
      <alignment horizontal="center" vertical="center"/>
    </xf>
    <xf numFmtId="44" fontId="8" fillId="0" borderId="8" xfId="2" applyFont="1" applyBorder="1" applyAlignment="1">
      <alignment horizontal="center" vertical="center"/>
    </xf>
    <xf numFmtId="0" fontId="2" fillId="0" borderId="15" xfId="0" applyFont="1" applyBorder="1" applyAlignment="1">
      <alignment horizontal="center"/>
    </xf>
    <xf numFmtId="0" fontId="10" fillId="0" borderId="13" xfId="0" applyFont="1" applyBorder="1" applyAlignment="1">
      <alignment horizontal="center"/>
    </xf>
    <xf numFmtId="8" fontId="0" fillId="0" borderId="9" xfId="0" applyNumberFormat="1" applyFont="1" applyBorder="1" applyAlignment="1">
      <alignment horizontal="right" vertical="center" wrapText="1"/>
    </xf>
    <xf numFmtId="0" fontId="8" fillId="0" borderId="9" xfId="0" applyFont="1" applyBorder="1" applyAlignment="1">
      <alignment horizontal="left" vertical="center" wrapText="1"/>
    </xf>
    <xf numFmtId="4" fontId="8" fillId="0" borderId="9" xfId="0" applyNumberFormat="1" applyFont="1" applyBorder="1" applyAlignment="1">
      <alignment vertical="center" wrapText="1"/>
    </xf>
    <xf numFmtId="8" fontId="8" fillId="0" borderId="9" xfId="0" applyNumberFormat="1" applyFont="1" applyBorder="1" applyAlignment="1">
      <alignment vertical="center" wrapText="1"/>
    </xf>
    <xf numFmtId="0" fontId="8" fillId="0" borderId="21" xfId="0" applyFont="1" applyFill="1" applyBorder="1" applyAlignment="1">
      <alignment horizontal="left" wrapText="1"/>
    </xf>
    <xf numFmtId="0" fontId="8" fillId="0" borderId="23" xfId="0" applyFont="1" applyBorder="1"/>
    <xf numFmtId="0" fontId="0" fillId="0" borderId="23" xfId="0" applyFont="1" applyBorder="1"/>
    <xf numFmtId="0" fontId="8" fillId="0" borderId="8" xfId="0" applyFont="1" applyBorder="1" applyAlignment="1">
      <alignment vertical="center"/>
    </xf>
    <xf numFmtId="44" fontId="8" fillId="0" borderId="8" xfId="2" applyFont="1" applyBorder="1" applyAlignment="1">
      <alignment vertical="center"/>
    </xf>
    <xf numFmtId="0" fontId="8" fillId="0" borderId="0" xfId="0" applyFont="1" applyFill="1" applyBorder="1" applyAlignment="1">
      <alignment horizontal="left" wrapText="1"/>
    </xf>
    <xf numFmtId="0" fontId="8" fillId="0" borderId="0" xfId="0" applyFont="1" applyFill="1" applyBorder="1" applyAlignment="1">
      <alignment vertical="top" wrapText="1"/>
    </xf>
    <xf numFmtId="0" fontId="8" fillId="0" borderId="24" xfId="0" applyFont="1" applyBorder="1" applyAlignment="1">
      <alignment horizontal="center" vertical="center"/>
    </xf>
    <xf numFmtId="0" fontId="8" fillId="0" borderId="25" xfId="0" applyFont="1" applyBorder="1" applyAlignment="1">
      <alignment horizontal="center"/>
    </xf>
    <xf numFmtId="169" fontId="8" fillId="0" borderId="26" xfId="1" applyNumberFormat="1" applyFont="1" applyFill="1" applyBorder="1" applyAlignment="1">
      <alignment wrapText="1"/>
    </xf>
    <xf numFmtId="0" fontId="8" fillId="0" borderId="13" xfId="0" applyFont="1" applyBorder="1"/>
    <xf numFmtId="0" fontId="8" fillId="0" borderId="28" xfId="0" applyFont="1" applyBorder="1" applyAlignment="1">
      <alignment horizontal="center" vertical="center"/>
    </xf>
    <xf numFmtId="169" fontId="8" fillId="0" borderId="12" xfId="0" applyNumberFormat="1" applyFont="1" applyFill="1" applyBorder="1" applyAlignment="1">
      <alignment wrapText="1"/>
    </xf>
    <xf numFmtId="0" fontId="8" fillId="0" borderId="30" xfId="0" applyFont="1" applyBorder="1" applyAlignment="1">
      <alignment horizontal="center" vertical="center"/>
    </xf>
    <xf numFmtId="0" fontId="8" fillId="0" borderId="5" xfId="0" applyFont="1" applyBorder="1" applyAlignment="1">
      <alignment horizontal="center"/>
    </xf>
    <xf numFmtId="169" fontId="8" fillId="0" borderId="6" xfId="0" applyNumberFormat="1" applyFont="1" applyFill="1" applyBorder="1" applyAlignment="1">
      <alignment wrapText="1"/>
    </xf>
    <xf numFmtId="0" fontId="8" fillId="0" borderId="31" xfId="0" applyFont="1" applyFill="1" applyBorder="1" applyAlignment="1">
      <alignment horizontal="left" wrapText="1"/>
    </xf>
    <xf numFmtId="0" fontId="10" fillId="0" borderId="9" xfId="0" applyFont="1" applyFill="1" applyBorder="1"/>
    <xf numFmtId="44" fontId="10" fillId="0" borderId="9" xfId="2" applyFont="1" applyBorder="1"/>
    <xf numFmtId="0" fontId="8" fillId="2" borderId="16" xfId="0" applyFont="1" applyFill="1" applyBorder="1" applyAlignment="1">
      <alignment horizontal="left"/>
    </xf>
    <xf numFmtId="0" fontId="8" fillId="2" borderId="17" xfId="0" applyFont="1" applyFill="1" applyBorder="1" applyAlignment="1">
      <alignment horizontal="left"/>
    </xf>
    <xf numFmtId="0" fontId="8" fillId="2" borderId="18" xfId="0" applyFont="1" applyFill="1" applyBorder="1" applyAlignment="1">
      <alignment horizontal="left"/>
    </xf>
    <xf numFmtId="0" fontId="10" fillId="0" borderId="10" xfId="0" applyFont="1" applyBorder="1" applyAlignment="1">
      <alignment horizontal="left" vertical="center" wrapText="1"/>
    </xf>
    <xf numFmtId="0" fontId="10" fillId="0" borderId="13" xfId="0" applyFont="1" applyBorder="1" applyAlignment="1">
      <alignment horizontal="left" vertical="center" wrapText="1"/>
    </xf>
    <xf numFmtId="0" fontId="8" fillId="0" borderId="10" xfId="0" applyFont="1" applyFill="1" applyBorder="1" applyAlignment="1">
      <alignment horizontal="center" vertical="center" wrapText="1"/>
    </xf>
    <xf numFmtId="3" fontId="8" fillId="0" borderId="13" xfId="0" applyNumberFormat="1" applyFont="1" applyFill="1" applyBorder="1" applyAlignment="1">
      <alignment vertical="center" wrapText="1"/>
    </xf>
    <xf numFmtId="0" fontId="0" fillId="0" borderId="9" xfId="0" applyFont="1" applyBorder="1" applyAlignment="1">
      <alignment horizontal="left"/>
    </xf>
    <xf numFmtId="8" fontId="0" fillId="0" borderId="9" xfId="0" applyNumberFormat="1" applyFont="1" applyBorder="1" applyAlignment="1">
      <alignment vertical="center" wrapText="1"/>
    </xf>
    <xf numFmtId="0" fontId="0" fillId="0" borderId="0" xfId="0" applyFont="1" applyAlignment="1">
      <alignment horizontal="left"/>
    </xf>
    <xf numFmtId="0" fontId="0" fillId="0" borderId="0" xfId="0" applyFont="1"/>
    <xf numFmtId="0" fontId="0" fillId="0" borderId="10" xfId="0" applyFont="1" applyBorder="1" applyAlignment="1">
      <alignment horizontal="left"/>
    </xf>
    <xf numFmtId="0" fontId="0" fillId="0" borderId="14" xfId="0" applyFont="1" applyBorder="1" applyAlignment="1">
      <alignment horizontal="left"/>
    </xf>
    <xf numFmtId="0" fontId="0" fillId="0" borderId="13" xfId="0" applyFont="1" applyBorder="1" applyAlignment="1">
      <alignment horizontal="left"/>
    </xf>
    <xf numFmtId="8" fontId="8" fillId="0" borderId="8" xfId="0" applyNumberFormat="1" applyFont="1" applyBorder="1" applyAlignment="1">
      <alignment vertical="center" wrapText="1"/>
    </xf>
    <xf numFmtId="0" fontId="8" fillId="0" borderId="8" xfId="0" applyFont="1" applyBorder="1" applyAlignment="1">
      <alignment horizontal="right"/>
    </xf>
    <xf numFmtId="8" fontId="0" fillId="0" borderId="9" xfId="0" applyNumberFormat="1" applyFont="1" applyBorder="1" applyAlignment="1">
      <alignment horizontal="right" vertical="center"/>
    </xf>
    <xf numFmtId="9" fontId="0" fillId="0" borderId="0" xfId="3" applyFont="1" applyAlignment="1">
      <alignment wrapText="1"/>
    </xf>
    <xf numFmtId="0" fontId="8" fillId="0" borderId="9" xfId="0" applyFont="1" applyBorder="1" applyAlignment="1">
      <alignment horizontal="right"/>
    </xf>
    <xf numFmtId="0" fontId="10" fillId="0" borderId="8" xfId="0" applyFont="1" applyBorder="1"/>
    <xf numFmtId="0" fontId="0" fillId="0" borderId="10" xfId="0" applyFont="1" applyBorder="1" applyAlignment="1">
      <alignment horizontal="left" wrapText="1"/>
    </xf>
    <xf numFmtId="0" fontId="0" fillId="0" borderId="14" xfId="0" applyFont="1" applyBorder="1" applyAlignment="1">
      <alignment horizontal="left" wrapText="1"/>
    </xf>
    <xf numFmtId="0" fontId="0" fillId="0" borderId="13" xfId="0" applyFont="1" applyBorder="1" applyAlignment="1">
      <alignment horizontal="left" wrapText="1"/>
    </xf>
    <xf numFmtId="0" fontId="0" fillId="0" borderId="10" xfId="0" applyFont="1" applyBorder="1" applyAlignment="1">
      <alignment horizontal="left"/>
    </xf>
    <xf numFmtId="0" fontId="0" fillId="0" borderId="14" xfId="0" applyFont="1" applyBorder="1" applyAlignment="1">
      <alignment horizontal="left"/>
    </xf>
    <xf numFmtId="0" fontId="0" fillId="0" borderId="13" xfId="0" applyFont="1" applyBorder="1" applyAlignment="1">
      <alignment horizontal="left"/>
    </xf>
    <xf numFmtId="8" fontId="8" fillId="0" borderId="19" xfId="0" applyNumberFormat="1" applyFont="1" applyBorder="1" applyAlignment="1">
      <alignment vertical="center" wrapText="1"/>
    </xf>
    <xf numFmtId="49" fontId="8" fillId="0" borderId="23" xfId="0" applyNumberFormat="1" applyFont="1" applyFill="1" applyBorder="1" applyAlignment="1">
      <alignment horizontal="right"/>
    </xf>
    <xf numFmtId="8" fontId="8" fillId="0" borderId="19" xfId="0" applyNumberFormat="1" applyFont="1" applyBorder="1" applyAlignment="1">
      <alignment horizontal="right"/>
    </xf>
    <xf numFmtId="0" fontId="8" fillId="0" borderId="9" xfId="0" applyFont="1" applyFill="1" applyBorder="1" applyAlignment="1">
      <alignment horizontal="center" vertical="center" wrapText="1"/>
    </xf>
    <xf numFmtId="0" fontId="8" fillId="0" borderId="9" xfId="0" applyFont="1" applyFill="1" applyBorder="1" applyAlignment="1">
      <alignment horizontal="left" vertical="top" wrapText="1"/>
    </xf>
    <xf numFmtId="0" fontId="8" fillId="0" borderId="10" xfId="0" applyFont="1" applyBorder="1"/>
    <xf numFmtId="0" fontId="8" fillId="0" borderId="10" xfId="0" applyFont="1" applyBorder="1" applyAlignment="1">
      <alignment horizontal="right"/>
    </xf>
    <xf numFmtId="164" fontId="8" fillId="0" borderId="9" xfId="2" applyNumberFormat="1" applyFont="1" applyBorder="1"/>
    <xf numFmtId="0" fontId="8" fillId="0" borderId="32" xfId="0" applyFont="1" applyFill="1" applyBorder="1" applyAlignment="1">
      <alignment horizontal="center" vertical="center" wrapText="1"/>
    </xf>
    <xf numFmtId="0" fontId="8" fillId="0" borderId="22" xfId="0" applyFont="1" applyFill="1" applyBorder="1" applyAlignment="1">
      <alignment horizontal="center" vertical="center" wrapText="1"/>
    </xf>
    <xf numFmtId="2" fontId="8" fillId="0" borderId="8" xfId="0" applyNumberFormat="1" applyFont="1" applyFill="1" applyBorder="1"/>
    <xf numFmtId="0" fontId="8" fillId="0" borderId="19"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8" xfId="0" applyFont="1" applyBorder="1" applyAlignment="1">
      <alignment horizontal="center"/>
    </xf>
    <xf numFmtId="169" fontId="8" fillId="0" borderId="8" xfId="1" applyNumberFormat="1" applyFont="1" applyFill="1" applyBorder="1" applyAlignment="1">
      <alignment wrapText="1"/>
    </xf>
    <xf numFmtId="0" fontId="10" fillId="0" borderId="9" xfId="0" applyFont="1" applyBorder="1" applyAlignment="1">
      <alignment horizontal="right"/>
    </xf>
    <xf numFmtId="164" fontId="10" fillId="0" borderId="9" xfId="2" applyNumberFormat="1" applyFont="1" applyBorder="1"/>
    <xf numFmtId="0" fontId="10" fillId="0" borderId="10" xfId="0" applyFont="1" applyBorder="1" applyAlignment="1">
      <alignment vertical="center"/>
    </xf>
    <xf numFmtId="0" fontId="10" fillId="0" borderId="13" xfId="0" applyFont="1" applyBorder="1" applyAlignment="1">
      <alignment vertical="center"/>
    </xf>
    <xf numFmtId="0" fontId="8" fillId="0" borderId="14" xfId="0" applyFont="1" applyBorder="1" applyAlignment="1">
      <alignment vertical="center" wrapText="1"/>
    </xf>
    <xf numFmtId="165" fontId="8" fillId="0" borderId="14" xfId="1" applyNumberFormat="1" applyFont="1" applyBorder="1" applyAlignment="1">
      <alignment vertical="center"/>
    </xf>
    <xf numFmtId="0" fontId="8" fillId="0" borderId="32" xfId="0" applyFont="1" applyFill="1" applyBorder="1" applyAlignment="1">
      <alignment horizontal="left" wrapText="1"/>
    </xf>
    <xf numFmtId="0" fontId="8" fillId="0" borderId="22" xfId="0" applyFont="1" applyFill="1" applyBorder="1" applyAlignment="1">
      <alignment horizontal="left" wrapText="1"/>
    </xf>
    <xf numFmtId="0" fontId="0" fillId="0" borderId="9" xfId="0" applyBorder="1"/>
    <xf numFmtId="8" fontId="0" fillId="0" borderId="9" xfId="0" applyNumberFormat="1" applyFont="1" applyBorder="1" applyAlignment="1">
      <alignment vertical="center"/>
    </xf>
    <xf numFmtId="168" fontId="8" fillId="0" borderId="9" xfId="0" applyNumberFormat="1" applyFont="1" applyBorder="1" applyAlignment="1">
      <alignment horizontal="right" vertical="center"/>
    </xf>
    <xf numFmtId="0" fontId="8" fillId="0" borderId="33" xfId="0" applyFont="1" applyFill="1" applyBorder="1" applyAlignment="1">
      <alignment horizontal="left" wrapText="1"/>
    </xf>
    <xf numFmtId="0" fontId="8" fillId="0" borderId="28" xfId="0" applyFont="1" applyFill="1" applyBorder="1" applyAlignment="1">
      <alignment horizontal="left" wrapText="1"/>
    </xf>
    <xf numFmtId="8" fontId="8" fillId="0" borderId="8" xfId="0" applyNumberFormat="1" applyFont="1" applyBorder="1"/>
    <xf numFmtId="0" fontId="10" fillId="0" borderId="9" xfId="0" applyFont="1" applyFill="1" applyBorder="1" applyAlignment="1">
      <alignment horizontal="center" vertical="center" wrapText="1"/>
    </xf>
    <xf numFmtId="0" fontId="8" fillId="0" borderId="19" xfId="0" applyFont="1" applyFill="1" applyBorder="1" applyAlignment="1">
      <alignment horizontal="left" wrapText="1"/>
    </xf>
    <xf numFmtId="0" fontId="8" fillId="0" borderId="1" xfId="0" applyFont="1" applyFill="1" applyBorder="1" applyAlignment="1">
      <alignment horizontal="left" wrapText="1"/>
    </xf>
    <xf numFmtId="0" fontId="8" fillId="0" borderId="20" xfId="0" applyFont="1" applyFill="1" applyBorder="1" applyAlignment="1">
      <alignment horizontal="left" wrapText="1"/>
    </xf>
    <xf numFmtId="0" fontId="8" fillId="0" borderId="10" xfId="0" applyFont="1" applyFill="1" applyBorder="1" applyAlignment="1">
      <alignment horizontal="center" vertical="center"/>
    </xf>
    <xf numFmtId="0" fontId="8" fillId="0" borderId="13" xfId="0" applyFont="1" applyFill="1" applyBorder="1" applyAlignment="1">
      <alignment vertical="center"/>
    </xf>
    <xf numFmtId="165" fontId="8" fillId="0" borderId="14" xfId="1" applyNumberFormat="1" applyFont="1" applyFill="1" applyBorder="1" applyAlignment="1">
      <alignment vertical="center"/>
    </xf>
    <xf numFmtId="0" fontId="10" fillId="0" borderId="9" xfId="0" applyFont="1" applyFill="1" applyBorder="1" applyAlignment="1">
      <alignment horizontal="left" wrapText="1"/>
    </xf>
    <xf numFmtId="0" fontId="10" fillId="0" borderId="9" xfId="0" applyFont="1" applyFill="1" applyBorder="1" applyAlignment="1">
      <alignment horizontal="center" wrapText="1"/>
    </xf>
    <xf numFmtId="0" fontId="10" fillId="0" borderId="15" xfId="0" applyFont="1" applyFill="1" applyBorder="1" applyAlignment="1">
      <alignment horizontal="center" wrapText="1"/>
    </xf>
    <xf numFmtId="0" fontId="10" fillId="0" borderId="15" xfId="0" applyFont="1" applyFill="1" applyBorder="1" applyAlignment="1"/>
    <xf numFmtId="0" fontId="10" fillId="0" borderId="15" xfId="0" applyFont="1" applyFill="1" applyBorder="1" applyAlignment="1">
      <alignment horizontal="center"/>
    </xf>
    <xf numFmtId="0" fontId="10" fillId="0" borderId="9" xfId="0" applyFont="1" applyFill="1" applyBorder="1" applyAlignment="1">
      <alignment horizontal="center"/>
    </xf>
    <xf numFmtId="0" fontId="8" fillId="0" borderId="9" xfId="0" applyFont="1" applyFill="1" applyBorder="1" applyAlignment="1">
      <alignment horizontal="left"/>
    </xf>
    <xf numFmtId="4" fontId="8" fillId="0" borderId="9" xfId="0" applyNumberFormat="1" applyFont="1" applyFill="1" applyBorder="1"/>
    <xf numFmtId="49" fontId="8" fillId="0" borderId="9" xfId="0" applyNumberFormat="1" applyFont="1" applyBorder="1" applyAlignment="1">
      <alignment horizontal="right"/>
    </xf>
    <xf numFmtId="8" fontId="0" fillId="0" borderId="9" xfId="0" applyNumberFormat="1" applyBorder="1" applyAlignment="1">
      <alignment wrapText="1"/>
    </xf>
    <xf numFmtId="0" fontId="8" fillId="0" borderId="13" xfId="0" applyFont="1" applyFill="1" applyBorder="1" applyAlignment="1">
      <alignment horizontal="center" vertical="center"/>
    </xf>
    <xf numFmtId="0" fontId="8" fillId="0" borderId="9" xfId="0" applyFont="1" applyFill="1" applyBorder="1" applyAlignment="1">
      <alignment horizontal="left" wrapText="1"/>
    </xf>
    <xf numFmtId="0" fontId="8" fillId="0" borderId="9" xfId="0" applyFont="1" applyBorder="1" applyAlignment="1">
      <alignment horizontal="left" wrapText="1"/>
    </xf>
    <xf numFmtId="4" fontId="8" fillId="0" borderId="9" xfId="0" applyNumberFormat="1" applyFont="1" applyBorder="1"/>
    <xf numFmtId="0" fontId="8" fillId="0" borderId="13" xfId="0" applyFont="1" applyBorder="1" applyAlignment="1">
      <alignment horizontal="center" vertical="center"/>
    </xf>
    <xf numFmtId="0" fontId="8" fillId="0" borderId="32" xfId="0" applyFont="1" applyFill="1" applyBorder="1" applyAlignment="1">
      <alignment horizontal="left" vertical="top" wrapText="1"/>
    </xf>
    <xf numFmtId="0" fontId="8" fillId="0" borderId="21" xfId="0" applyFont="1" applyFill="1" applyBorder="1" applyAlignment="1">
      <alignment horizontal="left" vertical="top" wrapText="1"/>
    </xf>
    <xf numFmtId="0" fontId="8" fillId="0" borderId="22" xfId="0" applyFont="1" applyFill="1" applyBorder="1" applyAlignment="1">
      <alignment horizontal="left" vertical="top" wrapText="1"/>
    </xf>
    <xf numFmtId="0" fontId="8" fillId="0" borderId="9" xfId="0" applyFont="1" applyBorder="1" applyAlignment="1">
      <alignment wrapText="1"/>
    </xf>
    <xf numFmtId="8" fontId="0" fillId="0" borderId="9" xfId="0" applyNumberFormat="1" applyFont="1" applyFill="1" applyBorder="1" applyAlignment="1">
      <alignment wrapText="1"/>
    </xf>
    <xf numFmtId="168" fontId="8" fillId="0" borderId="9" xfId="0" applyNumberFormat="1" applyFont="1" applyFill="1" applyBorder="1" applyAlignment="1">
      <alignment horizontal="right"/>
    </xf>
    <xf numFmtId="0" fontId="8" fillId="0" borderId="33" xfId="0" applyFont="1" applyFill="1" applyBorder="1" applyAlignment="1">
      <alignment horizontal="left" vertical="top" wrapText="1"/>
    </xf>
    <xf numFmtId="0" fontId="8" fillId="0" borderId="0" xfId="0" applyFont="1" applyFill="1" applyBorder="1" applyAlignment="1">
      <alignment horizontal="left" vertical="top" wrapText="1"/>
    </xf>
    <xf numFmtId="0" fontId="8" fillId="0" borderId="28" xfId="0" applyFont="1" applyFill="1" applyBorder="1" applyAlignment="1">
      <alignment horizontal="left" vertical="top" wrapText="1"/>
    </xf>
    <xf numFmtId="0" fontId="8" fillId="0" borderId="19" xfId="0" applyFont="1" applyFill="1" applyBorder="1" applyAlignment="1">
      <alignment horizontal="left" vertical="top" wrapText="1"/>
    </xf>
    <xf numFmtId="0" fontId="8" fillId="0" borderId="1" xfId="0" applyFont="1" applyFill="1" applyBorder="1" applyAlignment="1">
      <alignment horizontal="left" vertical="top" wrapText="1"/>
    </xf>
    <xf numFmtId="0" fontId="8" fillId="0" borderId="20" xfId="0" applyFont="1" applyFill="1" applyBorder="1" applyAlignment="1">
      <alignment horizontal="left" vertical="top"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10" xfId="0" applyFont="1" applyFill="1" applyBorder="1" applyAlignment="1">
      <alignment vertical="center"/>
    </xf>
    <xf numFmtId="0" fontId="10" fillId="0" borderId="13" xfId="0" applyFont="1" applyFill="1" applyBorder="1" applyAlignment="1">
      <alignment vertical="center"/>
    </xf>
    <xf numFmtId="0" fontId="10" fillId="0" borderId="9" xfId="0" applyFont="1" applyBorder="1" applyAlignment="1"/>
    <xf numFmtId="44" fontId="1" fillId="0" borderId="0" xfId="2" applyFont="1" applyFill="1" applyBorder="1" applyAlignment="1"/>
    <xf numFmtId="0" fontId="0" fillId="0" borderId="0" xfId="0" applyFill="1" applyBorder="1" applyAlignment="1">
      <alignment wrapText="1"/>
    </xf>
    <xf numFmtId="0" fontId="8" fillId="0" borderId="9" xfId="0" applyFont="1" applyFill="1" applyBorder="1" applyAlignment="1">
      <alignment horizontal="left" vertical="center" wrapText="1"/>
    </xf>
    <xf numFmtId="3" fontId="8" fillId="0" borderId="9" xfId="0" applyNumberFormat="1" applyFont="1" applyBorder="1" applyAlignment="1">
      <alignment horizontal="right" vertical="center" wrapText="1"/>
    </xf>
    <xf numFmtId="164" fontId="8" fillId="0" borderId="9" xfId="0" applyNumberFormat="1" applyFont="1" applyBorder="1" applyAlignment="1">
      <alignment horizontal="right" vertical="center" wrapText="1"/>
    </xf>
    <xf numFmtId="0" fontId="8" fillId="0" borderId="10" xfId="0" applyFont="1" applyBorder="1" applyAlignment="1">
      <alignment horizontal="left" vertical="center" wrapText="1"/>
    </xf>
    <xf numFmtId="0" fontId="8" fillId="0" borderId="14" xfId="0" applyFont="1" applyBorder="1" applyAlignment="1">
      <alignment horizontal="left" vertical="center" wrapText="1"/>
    </xf>
    <xf numFmtId="0" fontId="8" fillId="0" borderId="13" xfId="0" applyFont="1" applyBorder="1" applyAlignment="1">
      <alignment horizontal="left" vertical="center" wrapText="1"/>
    </xf>
    <xf numFmtId="8" fontId="8" fillId="0" borderId="9" xfId="2" applyNumberFormat="1" applyFont="1" applyBorder="1" applyAlignment="1">
      <alignment horizontal="right" vertical="center"/>
    </xf>
    <xf numFmtId="0" fontId="10" fillId="0" borderId="9" xfId="0" applyFont="1" applyBorder="1" applyAlignment="1">
      <alignment horizontal="right" vertical="center"/>
    </xf>
    <xf numFmtId="8" fontId="8" fillId="0" borderId="9" xfId="2" applyNumberFormat="1" applyFont="1" applyBorder="1"/>
    <xf numFmtId="0" fontId="10" fillId="0" borderId="15" xfId="0" applyFont="1" applyBorder="1" applyAlignment="1"/>
    <xf numFmtId="3" fontId="0" fillId="0" borderId="9" xfId="0" applyNumberFormat="1" applyFont="1" applyBorder="1" applyAlignment="1">
      <alignment vertical="center" wrapText="1"/>
    </xf>
    <xf numFmtId="0" fontId="0" fillId="0" borderId="9" xfId="0" applyFont="1" applyBorder="1" applyAlignment="1">
      <alignment horizontal="center" vertical="center"/>
    </xf>
    <xf numFmtId="164" fontId="0" fillId="0" borderId="9" xfId="0" applyNumberFormat="1" applyFont="1" applyFill="1" applyBorder="1" applyAlignment="1">
      <alignment vertical="center"/>
    </xf>
    <xf numFmtId="168" fontId="8" fillId="0" borderId="9" xfId="0" applyNumberFormat="1" applyFont="1" applyFill="1" applyBorder="1" applyAlignment="1">
      <alignment vertical="center"/>
    </xf>
    <xf numFmtId="0" fontId="0" fillId="0" borderId="9" xfId="0" applyFont="1" applyBorder="1" applyAlignment="1">
      <alignment horizontal="left" vertical="center"/>
    </xf>
    <xf numFmtId="0" fontId="0" fillId="0" borderId="0" xfId="0" applyFont="1" applyAlignment="1">
      <alignment horizontal="left" vertical="center"/>
    </xf>
    <xf numFmtId="0" fontId="0" fillId="0" borderId="0" xfId="0" applyFont="1" applyAlignment="1">
      <alignment vertical="center"/>
    </xf>
    <xf numFmtId="3" fontId="0" fillId="0" borderId="9" xfId="0" applyNumberFormat="1" applyBorder="1" applyAlignment="1">
      <alignment horizontal="right" vertical="center" wrapText="1"/>
    </xf>
    <xf numFmtId="0" fontId="0" fillId="0" borderId="9" xfId="0" applyFont="1" applyBorder="1" applyAlignment="1">
      <alignment horizontal="right" vertical="center"/>
    </xf>
    <xf numFmtId="8" fontId="4" fillId="0" borderId="9" xfId="0" applyNumberFormat="1" applyFont="1" applyBorder="1" applyAlignment="1">
      <alignment horizontal="right" vertical="center"/>
    </xf>
    <xf numFmtId="168" fontId="10" fillId="0" borderId="9" xfId="0" applyNumberFormat="1" applyFont="1" applyBorder="1" applyAlignment="1">
      <alignment horizontal="right" vertical="center"/>
    </xf>
    <xf numFmtId="8" fontId="8" fillId="0" borderId="1" xfId="0" applyNumberFormat="1" applyFont="1" applyBorder="1"/>
    <xf numFmtId="0" fontId="8" fillId="0" borderId="10" xfId="0" applyFont="1" applyBorder="1" applyAlignment="1">
      <alignment horizontal="left" wrapText="1"/>
    </xf>
    <xf numFmtId="0" fontId="8" fillId="0" borderId="14" xfId="0" applyFont="1" applyBorder="1" applyAlignment="1">
      <alignment horizontal="left" wrapText="1"/>
    </xf>
    <xf numFmtId="0" fontId="8" fillId="0" borderId="13" xfId="0" applyFont="1" applyBorder="1" applyAlignment="1">
      <alignment horizontal="left" wrapText="1"/>
    </xf>
    <xf numFmtId="3" fontId="0" fillId="0" borderId="9" xfId="0" applyNumberFormat="1" applyBorder="1" applyAlignment="1">
      <alignment vertical="center" wrapText="1"/>
    </xf>
    <xf numFmtId="0" fontId="8" fillId="0" borderId="8" xfId="0" applyFont="1" applyFill="1" applyBorder="1" applyAlignment="1">
      <alignment horizontal="left" vertical="top" wrapText="1"/>
    </xf>
    <xf numFmtId="0" fontId="8" fillId="0" borderId="19" xfId="0" applyFont="1" applyBorder="1"/>
    <xf numFmtId="0" fontId="8" fillId="0" borderId="19" xfId="0" applyFont="1" applyBorder="1" applyAlignment="1">
      <alignment horizontal="right"/>
    </xf>
    <xf numFmtId="164" fontId="8" fillId="0" borderId="8" xfId="2" applyNumberFormat="1" applyFont="1" applyBorder="1"/>
    <xf numFmtId="0" fontId="8" fillId="0" borderId="32"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8" xfId="0" applyFont="1" applyFill="1" applyBorder="1"/>
    <xf numFmtId="10" fontId="8" fillId="0" borderId="8" xfId="0" applyNumberFormat="1" applyFont="1" applyFill="1" applyBorder="1"/>
    <xf numFmtId="0" fontId="8" fillId="0" borderId="19" xfId="0" applyFont="1" applyFill="1" applyBorder="1" applyAlignment="1">
      <alignment horizontal="center" vertical="center"/>
    </xf>
    <xf numFmtId="0" fontId="8" fillId="0" borderId="20" xfId="0" applyFont="1" applyFill="1" applyBorder="1" applyAlignment="1">
      <alignment horizontal="center" vertical="center"/>
    </xf>
    <xf numFmtId="0" fontId="8" fillId="0" borderId="10" xfId="0" applyFont="1" applyFill="1" applyBorder="1" applyAlignment="1">
      <alignment vertical="center" wrapText="1"/>
    </xf>
    <xf numFmtId="0" fontId="8" fillId="0" borderId="9" xfId="0" applyFont="1" applyBorder="1" applyAlignment="1">
      <alignment horizontal="right" vertical="center" wrapText="1"/>
    </xf>
    <xf numFmtId="0" fontId="8" fillId="0" borderId="9" xfId="0" applyFont="1" applyBorder="1" applyAlignment="1">
      <alignment horizontal="right" vertical="center"/>
    </xf>
    <xf numFmtId="0" fontId="8" fillId="0" borderId="8" xfId="0" applyFont="1" applyBorder="1" applyAlignment="1">
      <alignment horizontal="center" vertical="center" wrapText="1"/>
    </xf>
    <xf numFmtId="0" fontId="8" fillId="0" borderId="9" xfId="0" applyFont="1" applyBorder="1" applyAlignment="1">
      <alignment horizontal="center" vertical="center"/>
    </xf>
    <xf numFmtId="0" fontId="8" fillId="0" borderId="10" xfId="0" applyFont="1" applyBorder="1" applyAlignment="1">
      <alignment horizontal="center" vertical="center" wrapText="1"/>
    </xf>
    <xf numFmtId="170" fontId="8" fillId="0" borderId="14" xfId="1" applyNumberFormat="1" applyFont="1" applyBorder="1" applyAlignment="1">
      <alignment vertical="center"/>
    </xf>
    <xf numFmtId="0" fontId="0" fillId="0" borderId="9" xfId="0" applyBorder="1" applyAlignment="1">
      <alignment horizontal="left"/>
    </xf>
    <xf numFmtId="0" fontId="0" fillId="0" borderId="10" xfId="0" applyBorder="1" applyAlignment="1">
      <alignment horizontal="left"/>
    </xf>
    <xf numFmtId="0" fontId="0" fillId="0" borderId="14" xfId="0" applyBorder="1" applyAlignment="1">
      <alignment horizontal="left"/>
    </xf>
    <xf numFmtId="0" fontId="0" fillId="0" borderId="13" xfId="0" applyBorder="1" applyAlignment="1">
      <alignment horizontal="left"/>
    </xf>
    <xf numFmtId="0" fontId="8" fillId="0" borderId="32" xfId="0" applyFont="1" applyBorder="1" applyAlignment="1">
      <alignment horizontal="center" vertical="center" wrapText="1"/>
    </xf>
    <xf numFmtId="0" fontId="0" fillId="0" borderId="21" xfId="0" applyBorder="1" applyAlignment="1">
      <alignment horizontal="left"/>
    </xf>
    <xf numFmtId="0" fontId="0" fillId="0" borderId="22" xfId="0" applyBorder="1" applyAlignment="1">
      <alignment horizontal="left"/>
    </xf>
    <xf numFmtId="8" fontId="8" fillId="0" borderId="10" xfId="0" applyNumberFormat="1" applyFont="1" applyBorder="1" applyAlignment="1">
      <alignment vertical="center" wrapText="1"/>
    </xf>
    <xf numFmtId="0" fontId="8" fillId="0" borderId="10" xfId="0" applyFont="1" applyBorder="1" applyAlignment="1">
      <alignment horizontal="right"/>
    </xf>
    <xf numFmtId="0" fontId="8" fillId="0" borderId="13" xfId="0" applyFont="1" applyBorder="1" applyAlignment="1">
      <alignment horizontal="right"/>
    </xf>
    <xf numFmtId="8" fontId="8" fillId="0" borderId="9" xfId="2" applyNumberFormat="1" applyFont="1" applyBorder="1" applyAlignment="1">
      <alignment vertical="center"/>
    </xf>
    <xf numFmtId="0" fontId="0" fillId="0" borderId="10" xfId="0" applyBorder="1"/>
    <xf numFmtId="2" fontId="8" fillId="0" borderId="9" xfId="0" applyNumberFormat="1" applyFont="1" applyBorder="1" applyAlignment="1">
      <alignment horizontal="right"/>
    </xf>
    <xf numFmtId="8" fontId="8" fillId="0" borderId="9" xfId="2" applyNumberFormat="1" applyFont="1" applyBorder="1" applyAlignment="1"/>
    <xf numFmtId="0" fontId="0" fillId="0" borderId="10" xfId="0" applyBorder="1" applyAlignment="1">
      <alignment horizontal="left" vertical="center"/>
    </xf>
    <xf numFmtId="0" fontId="0" fillId="0" borderId="14" xfId="0" applyBorder="1" applyAlignment="1">
      <alignment horizontal="left" vertical="center"/>
    </xf>
    <xf numFmtId="0" fontId="0" fillId="0" borderId="13" xfId="0" applyBorder="1" applyAlignment="1">
      <alignment horizontal="left" vertical="center"/>
    </xf>
    <xf numFmtId="0" fontId="0" fillId="0" borderId="10"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165" fontId="8" fillId="0" borderId="13" xfId="1" applyNumberFormat="1" applyFont="1" applyBorder="1" applyAlignment="1">
      <alignment vertical="center"/>
    </xf>
    <xf numFmtId="165" fontId="8" fillId="0" borderId="13" xfId="1" applyNumberFormat="1" applyFont="1" applyBorder="1" applyAlignment="1">
      <alignment horizontal="center" vertical="center"/>
    </xf>
    <xf numFmtId="0" fontId="0" fillId="0" borderId="10" xfId="0" applyBorder="1" applyAlignment="1">
      <alignment horizontal="left"/>
    </xf>
    <xf numFmtId="0" fontId="0" fillId="0" borderId="14" xfId="0" applyBorder="1" applyAlignment="1">
      <alignment horizontal="left"/>
    </xf>
    <xf numFmtId="0" fontId="0" fillId="0" borderId="13" xfId="0" applyBorder="1" applyAlignment="1">
      <alignment horizontal="left"/>
    </xf>
    <xf numFmtId="0" fontId="10" fillId="0" borderId="10" xfId="0" applyFont="1" applyFill="1" applyBorder="1" applyAlignment="1">
      <alignment vertical="center" wrapText="1"/>
    </xf>
    <xf numFmtId="0" fontId="10" fillId="0" borderId="13" xfId="0" applyFont="1" applyFill="1" applyBorder="1" applyAlignment="1">
      <alignment vertical="center" wrapText="1"/>
    </xf>
    <xf numFmtId="165" fontId="8" fillId="0" borderId="13" xfId="1" applyNumberFormat="1" applyFont="1" applyFill="1" applyBorder="1" applyAlignment="1">
      <alignment horizontal="center" vertical="center"/>
    </xf>
    <xf numFmtId="0" fontId="10" fillId="0" borderId="32" xfId="0" applyFont="1" applyFill="1" applyBorder="1" applyAlignment="1">
      <alignment horizontal="center" wrapText="1"/>
    </xf>
    <xf numFmtId="0" fontId="10" fillId="0" borderId="10" xfId="0" applyFont="1" applyFill="1" applyBorder="1" applyAlignment="1">
      <alignment horizontal="center" wrapText="1"/>
    </xf>
    <xf numFmtId="0" fontId="10" fillId="0" borderId="13" xfId="0" applyFont="1" applyFill="1" applyBorder="1" applyAlignment="1">
      <alignment horizontal="center" wrapText="1"/>
    </xf>
    <xf numFmtId="0" fontId="4" fillId="0" borderId="10" xfId="0" applyFont="1" applyFill="1" applyBorder="1" applyAlignment="1">
      <alignment horizontal="center"/>
    </xf>
    <xf numFmtId="0" fontId="4" fillId="0" borderId="13" xfId="0" applyFont="1" applyFill="1" applyBorder="1" applyAlignment="1">
      <alignment horizontal="center"/>
    </xf>
    <xf numFmtId="0" fontId="8" fillId="0" borderId="9" xfId="0" applyFont="1" applyFill="1" applyBorder="1" applyAlignment="1">
      <alignment horizontal="center" vertical="center"/>
    </xf>
    <xf numFmtId="165" fontId="8" fillId="0" borderId="9" xfId="0" applyNumberFormat="1" applyFont="1" applyFill="1" applyBorder="1" applyAlignment="1">
      <alignment vertical="center"/>
    </xf>
    <xf numFmtId="44" fontId="8" fillId="0" borderId="9" xfId="2" applyNumberFormat="1" applyFont="1" applyFill="1" applyBorder="1" applyAlignment="1">
      <alignment vertical="center"/>
    </xf>
    <xf numFmtId="171" fontId="8" fillId="0" borderId="9" xfId="0" applyNumberFormat="1" applyFont="1" applyFill="1" applyBorder="1" applyAlignment="1">
      <alignment horizontal="center" vertical="center"/>
    </xf>
    <xf numFmtId="171" fontId="8" fillId="0" borderId="8" xfId="0" applyNumberFormat="1" applyFont="1" applyFill="1" applyBorder="1" applyAlignment="1">
      <alignment vertical="center"/>
    </xf>
    <xf numFmtId="166" fontId="8" fillId="0" borderId="10" xfId="0" applyNumberFormat="1" applyFont="1" applyFill="1" applyBorder="1" applyAlignment="1">
      <alignment horizontal="center" vertical="center" wrapText="1"/>
    </xf>
    <xf numFmtId="166" fontId="8" fillId="0" borderId="13" xfId="0" applyNumberFormat="1" applyFont="1" applyFill="1" applyBorder="1" applyAlignment="1">
      <alignment horizontal="center" vertical="center" wrapText="1"/>
    </xf>
    <xf numFmtId="165" fontId="8" fillId="0" borderId="10" xfId="0" applyNumberFormat="1" applyFont="1" applyFill="1" applyBorder="1" applyAlignment="1">
      <alignment horizontal="center"/>
    </xf>
    <xf numFmtId="165" fontId="8" fillId="0" borderId="14" xfId="0" applyNumberFormat="1" applyFont="1" applyFill="1" applyBorder="1" applyAlignment="1">
      <alignment horizontal="center"/>
    </xf>
    <xf numFmtId="165" fontId="8" fillId="0" borderId="13" xfId="0" applyNumberFormat="1" applyFont="1" applyFill="1" applyBorder="1" applyAlignment="1">
      <alignment horizontal="center"/>
    </xf>
    <xf numFmtId="0" fontId="10" fillId="0" borderId="9" xfId="0" applyFont="1" applyFill="1" applyBorder="1" applyAlignment="1">
      <alignment horizontal="right"/>
    </xf>
    <xf numFmtId="44" fontId="8" fillId="0" borderId="9" xfId="2" applyNumberFormat="1" applyFont="1" applyFill="1" applyBorder="1"/>
    <xf numFmtId="165" fontId="8" fillId="0" borderId="14" xfId="1" applyNumberFormat="1" applyFont="1" applyFill="1" applyBorder="1" applyAlignment="1">
      <alignment horizontal="center" vertical="center"/>
    </xf>
    <xf numFmtId="44" fontId="8" fillId="0" borderId="9" xfId="2" applyFont="1" applyFill="1" applyBorder="1" applyAlignment="1">
      <alignment vertical="center"/>
    </xf>
    <xf numFmtId="8" fontId="8" fillId="0" borderId="9" xfId="2" applyNumberFormat="1" applyFont="1" applyFill="1" applyBorder="1" applyAlignment="1">
      <alignment vertical="center"/>
    </xf>
    <xf numFmtId="8" fontId="8" fillId="0" borderId="9" xfId="2" applyNumberFormat="1" applyFont="1" applyFill="1" applyBorder="1"/>
    <xf numFmtId="0" fontId="4" fillId="0" borderId="10" xfId="0" applyFont="1" applyBorder="1" applyAlignment="1">
      <alignment horizontal="center" vertical="center"/>
    </xf>
    <xf numFmtId="0" fontId="4" fillId="0" borderId="13" xfId="0" applyFont="1" applyBorder="1" applyAlignment="1">
      <alignment horizontal="center" vertical="center"/>
    </xf>
    <xf numFmtId="0" fontId="4" fillId="0" borderId="10" xfId="0" applyFont="1" applyBorder="1" applyAlignment="1">
      <alignment vertical="center" wrapText="1"/>
    </xf>
    <xf numFmtId="0" fontId="4" fillId="0" borderId="13" xfId="0" applyFont="1" applyBorder="1" applyAlignment="1">
      <alignment vertical="center" wrapText="1"/>
    </xf>
    <xf numFmtId="0" fontId="0" fillId="0" borderId="10" xfId="0" applyFont="1" applyBorder="1" applyAlignment="1">
      <alignment horizontal="center" vertical="center"/>
    </xf>
    <xf numFmtId="0" fontId="0" fillId="0" borderId="13" xfId="0" applyFont="1" applyBorder="1" applyAlignment="1">
      <alignment vertical="center"/>
    </xf>
    <xf numFmtId="0" fontId="0" fillId="0" borderId="10" xfId="0" applyFont="1" applyBorder="1" applyAlignment="1">
      <alignment vertical="center" wrapText="1"/>
    </xf>
    <xf numFmtId="165" fontId="0" fillId="0" borderId="14" xfId="1" applyNumberFormat="1" applyFont="1" applyBorder="1" applyAlignment="1">
      <alignment horizontal="center" vertical="center"/>
    </xf>
    <xf numFmtId="0" fontId="10" fillId="0" borderId="14" xfId="0" applyFont="1" applyBorder="1" applyAlignment="1">
      <alignment horizontal="center" vertical="center" wrapText="1"/>
    </xf>
    <xf numFmtId="0" fontId="10" fillId="0" borderId="13" xfId="0" applyFont="1" applyBorder="1" applyAlignment="1">
      <alignment horizontal="center" vertical="center" wrapText="1"/>
    </xf>
    <xf numFmtId="0" fontId="4" fillId="0" borderId="9" xfId="0" applyFont="1" applyBorder="1" applyAlignment="1">
      <alignment horizontal="center" wrapText="1"/>
    </xf>
    <xf numFmtId="0" fontId="4" fillId="0" borderId="10" xfId="0" applyFont="1" applyFill="1" applyBorder="1" applyAlignment="1">
      <alignment horizontal="left" wrapText="1"/>
    </xf>
    <xf numFmtId="0" fontId="4" fillId="0" borderId="14" xfId="0" applyFont="1" applyFill="1" applyBorder="1" applyAlignment="1">
      <alignment horizontal="left" wrapText="1"/>
    </xf>
    <xf numFmtId="0" fontId="4" fillId="0" borderId="13" xfId="0" applyFont="1" applyFill="1" applyBorder="1" applyAlignment="1">
      <alignment horizontal="left" wrapText="1"/>
    </xf>
    <xf numFmtId="0" fontId="4" fillId="0" borderId="32" xfId="0" applyFont="1" applyFill="1" applyBorder="1" applyAlignment="1">
      <alignment horizontal="center" wrapText="1"/>
    </xf>
    <xf numFmtId="0" fontId="4" fillId="0" borderId="10" xfId="0" applyFont="1" applyFill="1" applyBorder="1" applyAlignment="1">
      <alignment horizontal="center" wrapText="1"/>
    </xf>
    <xf numFmtId="0" fontId="4" fillId="0" borderId="13" xfId="0" applyFont="1" applyFill="1" applyBorder="1" applyAlignment="1">
      <alignment horizontal="center" wrapText="1"/>
    </xf>
    <xf numFmtId="0" fontId="0" fillId="0" borderId="10" xfId="0" applyFont="1" applyFill="1" applyBorder="1" applyAlignment="1">
      <alignment horizontal="left"/>
    </xf>
    <xf numFmtId="0" fontId="0" fillId="0" borderId="14" xfId="0" applyFont="1" applyFill="1" applyBorder="1" applyAlignment="1">
      <alignment horizontal="left"/>
    </xf>
    <xf numFmtId="0" fontId="0" fillId="0" borderId="13" xfId="0" applyFont="1" applyFill="1" applyBorder="1" applyAlignment="1">
      <alignment horizontal="left"/>
    </xf>
    <xf numFmtId="44" fontId="0" fillId="0" borderId="9" xfId="2" applyFont="1" applyFill="1" applyBorder="1" applyAlignment="1">
      <alignment horizontal="center"/>
    </xf>
    <xf numFmtId="44" fontId="0" fillId="0" borderId="9" xfId="2" applyFont="1" applyFill="1" applyBorder="1" applyAlignment="1">
      <alignment horizontal="center" vertical="center"/>
    </xf>
    <xf numFmtId="0" fontId="0" fillId="0" borderId="10" xfId="0" applyNumberFormat="1" applyFont="1" applyFill="1" applyBorder="1" applyAlignment="1">
      <alignment horizontal="center" vertical="center"/>
    </xf>
    <xf numFmtId="0" fontId="0" fillId="0" borderId="13" xfId="0" applyNumberFormat="1" applyFont="1" applyFill="1" applyBorder="1" applyAlignment="1">
      <alignment horizontal="center" vertical="center"/>
    </xf>
    <xf numFmtId="2" fontId="0" fillId="0" borderId="10" xfId="0" applyNumberFormat="1" applyFont="1" applyFill="1" applyBorder="1" applyAlignment="1">
      <alignment horizontal="center" vertical="center" wrapText="1"/>
    </xf>
    <xf numFmtId="2" fontId="0" fillId="0" borderId="13" xfId="0" applyNumberFormat="1" applyFont="1" applyFill="1" applyBorder="1" applyAlignment="1">
      <alignment horizontal="center" vertical="center" wrapText="1"/>
    </xf>
    <xf numFmtId="8" fontId="0" fillId="0" borderId="9" xfId="2" applyNumberFormat="1" applyFont="1" applyFill="1" applyBorder="1" applyAlignment="1">
      <alignment vertical="center"/>
    </xf>
    <xf numFmtId="0" fontId="0" fillId="0" borderId="9" xfId="0" applyFont="1" applyFill="1" applyBorder="1" applyAlignment="1">
      <alignment horizontal="center" vertical="center"/>
    </xf>
    <xf numFmtId="0" fontId="0" fillId="0" borderId="10" xfId="0" applyFont="1" applyFill="1" applyBorder="1" applyAlignment="1">
      <alignment horizontal="left"/>
    </xf>
    <xf numFmtId="0" fontId="0" fillId="0" borderId="14" xfId="0" applyFont="1" applyFill="1" applyBorder="1" applyAlignment="1">
      <alignment horizontal="left"/>
    </xf>
    <xf numFmtId="0" fontId="0" fillId="0" borderId="13" xfId="0" applyFont="1" applyFill="1" applyBorder="1" applyAlignment="1">
      <alignment horizontal="left"/>
    </xf>
    <xf numFmtId="44" fontId="0" fillId="0" borderId="10" xfId="2" applyFont="1" applyFill="1" applyBorder="1" applyAlignment="1">
      <alignment horizontal="center"/>
    </xf>
    <xf numFmtId="0" fontId="8" fillId="0" borderId="15" xfId="0" applyFont="1" applyFill="1" applyBorder="1" applyAlignment="1">
      <alignment horizontal="center" vertical="center" wrapText="1"/>
    </xf>
    <xf numFmtId="0" fontId="8" fillId="0" borderId="9" xfId="0" applyFont="1" applyFill="1" applyBorder="1" applyAlignment="1">
      <alignment horizontal="right" wrapText="1"/>
    </xf>
    <xf numFmtId="2" fontId="0" fillId="0" borderId="9" xfId="2" applyNumberFormat="1" applyFont="1" applyFill="1" applyBorder="1" applyAlignment="1">
      <alignment horizontal="center" vertical="center"/>
    </xf>
    <xf numFmtId="0" fontId="0" fillId="0" borderId="0" xfId="0" applyFill="1" applyAlignment="1">
      <alignment vertical="center"/>
    </xf>
    <xf numFmtId="44" fontId="0" fillId="0" borderId="0" xfId="0" applyNumberFormat="1" applyFill="1" applyAlignment="1">
      <alignment vertical="center"/>
    </xf>
    <xf numFmtId="0" fontId="8" fillId="0" borderId="8" xfId="0" applyFont="1" applyFill="1" applyBorder="1" applyAlignment="1">
      <alignment horizontal="center" vertical="center" wrapText="1"/>
    </xf>
    <xf numFmtId="0" fontId="0" fillId="0" borderId="9" xfId="0" applyFont="1" applyFill="1" applyBorder="1" applyAlignment="1">
      <alignment horizontal="right"/>
    </xf>
    <xf numFmtId="0" fontId="0" fillId="0" borderId="9" xfId="0" applyFont="1" applyBorder="1" applyAlignment="1">
      <alignment horizontal="center" wrapText="1"/>
    </xf>
    <xf numFmtId="0" fontId="0" fillId="0" borderId="10" xfId="0" applyFont="1" applyFill="1" applyBorder="1" applyAlignment="1">
      <alignment horizontal="left" wrapText="1"/>
    </xf>
    <xf numFmtId="0" fontId="0" fillId="0" borderId="14" xfId="0" applyFont="1" applyFill="1" applyBorder="1" applyAlignment="1">
      <alignment horizontal="left" wrapText="1"/>
    </xf>
    <xf numFmtId="0" fontId="0" fillId="0" borderId="13" xfId="0" applyFont="1" applyFill="1" applyBorder="1" applyAlignment="1">
      <alignment horizontal="left" wrapText="1"/>
    </xf>
    <xf numFmtId="165" fontId="0" fillId="0" borderId="10" xfId="0" applyNumberFormat="1" applyFont="1" applyFill="1" applyBorder="1" applyAlignment="1">
      <alignment wrapText="1"/>
    </xf>
    <xf numFmtId="165" fontId="0" fillId="0" borderId="14" xfId="0" applyNumberFormat="1" applyFont="1" applyFill="1" applyBorder="1" applyAlignment="1">
      <alignment wrapText="1"/>
    </xf>
    <xf numFmtId="165" fontId="0" fillId="0" borderId="13" xfId="0" applyNumberFormat="1" applyFont="1" applyFill="1" applyBorder="1" applyAlignment="1">
      <alignment wrapText="1"/>
    </xf>
    <xf numFmtId="0" fontId="0" fillId="0" borderId="9" xfId="0" applyFont="1" applyFill="1" applyBorder="1" applyAlignment="1">
      <alignment wrapText="1"/>
    </xf>
    <xf numFmtId="0" fontId="0" fillId="0" borderId="9" xfId="0" applyFont="1" applyFill="1" applyBorder="1" applyAlignment="1">
      <alignment horizontal="right" wrapText="1"/>
    </xf>
    <xf numFmtId="44" fontId="0" fillId="0" borderId="9" xfId="2" applyNumberFormat="1" applyFont="1" applyFill="1" applyBorder="1" applyAlignment="1">
      <alignment wrapText="1"/>
    </xf>
    <xf numFmtId="0" fontId="0" fillId="0" borderId="9" xfId="0" applyFont="1" applyFill="1" applyBorder="1" applyAlignment="1">
      <alignment horizontal="center" wrapText="1"/>
    </xf>
    <xf numFmtId="0" fontId="8" fillId="0" borderId="32" xfId="0" applyFont="1" applyBorder="1" applyAlignment="1">
      <alignment horizontal="center"/>
    </xf>
    <xf numFmtId="0" fontId="8" fillId="0" borderId="21" xfId="0" applyFont="1" applyFill="1" applyBorder="1" applyAlignment="1">
      <alignment horizontal="left" wrapText="1"/>
    </xf>
    <xf numFmtId="165" fontId="8" fillId="0" borderId="21" xfId="0" applyNumberFormat="1" applyFont="1" applyFill="1" applyBorder="1" applyAlignment="1"/>
    <xf numFmtId="165" fontId="10" fillId="0" borderId="21" xfId="0" applyNumberFormat="1" applyFont="1" applyFill="1" applyBorder="1" applyAlignment="1"/>
    <xf numFmtId="0" fontId="8" fillId="0" borderId="21" xfId="0" applyFont="1" applyFill="1" applyBorder="1"/>
    <xf numFmtId="166" fontId="8" fillId="0" borderId="9" xfId="0" applyNumberFormat="1" applyFont="1" applyFill="1" applyBorder="1"/>
    <xf numFmtId="8" fontId="8" fillId="0" borderId="21" xfId="2" applyNumberFormat="1" applyFont="1" applyFill="1" applyBorder="1"/>
    <xf numFmtId="0" fontId="8" fillId="0" borderId="22" xfId="0" applyFont="1" applyFill="1" applyBorder="1" applyAlignment="1">
      <alignment horizontal="center"/>
    </xf>
    <xf numFmtId="44" fontId="0" fillId="0" borderId="0" xfId="2" applyFont="1" applyFill="1"/>
    <xf numFmtId="0" fontId="0" fillId="0" borderId="32" xfId="0" applyFont="1" applyBorder="1" applyAlignment="1">
      <alignment horizontal="left" vertical="top" wrapText="1"/>
    </xf>
    <xf numFmtId="0" fontId="0" fillId="0" borderId="21" xfId="0" applyFont="1" applyBorder="1" applyAlignment="1">
      <alignment horizontal="left" vertical="top" wrapText="1"/>
    </xf>
    <xf numFmtId="0" fontId="0" fillId="0" borderId="22" xfId="0" applyFont="1" applyBorder="1" applyAlignment="1">
      <alignment horizontal="left" vertical="top" wrapText="1"/>
    </xf>
    <xf numFmtId="0" fontId="15" fillId="0" borderId="9" xfId="0" applyFont="1" applyBorder="1" applyAlignment="1">
      <alignment vertical="center"/>
    </xf>
    <xf numFmtId="0" fontId="0" fillId="0" borderId="9" xfId="0" applyFont="1" applyBorder="1" applyAlignment="1"/>
    <xf numFmtId="0" fontId="15" fillId="0" borderId="9" xfId="0" applyFont="1" applyBorder="1" applyAlignment="1">
      <alignment horizontal="left" vertical="top" wrapText="1"/>
    </xf>
    <xf numFmtId="0" fontId="0" fillId="0" borderId="9" xfId="0" applyFont="1" applyBorder="1" applyAlignment="1">
      <alignment horizontal="left" vertical="top"/>
    </xf>
    <xf numFmtId="0" fontId="15" fillId="0" borderId="9" xfId="0" applyFont="1" applyBorder="1" applyAlignment="1">
      <alignment vertical="center" wrapText="1"/>
    </xf>
    <xf numFmtId="0" fontId="15" fillId="0" borderId="9" xfId="0" applyFont="1" applyFill="1" applyBorder="1" applyAlignment="1">
      <alignment horizontal="left" vertical="top" wrapText="1"/>
    </xf>
    <xf numFmtId="0" fontId="0" fillId="0" borderId="9" xfId="0" applyFont="1" applyFill="1" applyBorder="1" applyAlignment="1">
      <alignment horizontal="left" vertical="top"/>
    </xf>
    <xf numFmtId="0" fontId="5" fillId="0" borderId="33" xfId="0" applyFont="1" applyFill="1" applyBorder="1" applyAlignment="1">
      <alignment horizontal="left" vertical="center" wrapText="1"/>
    </xf>
    <xf numFmtId="0" fontId="8" fillId="0" borderId="0" xfId="0" applyFont="1" applyFill="1" applyAlignment="1">
      <alignment horizontal="left" vertical="center" wrapText="1"/>
    </xf>
    <xf numFmtId="0" fontId="0" fillId="0" borderId="10" xfId="0" applyFont="1" applyFill="1" applyBorder="1" applyAlignment="1">
      <alignment horizontal="left" vertical="top"/>
    </xf>
    <xf numFmtId="0" fontId="0" fillId="0" borderId="14" xfId="0" applyFont="1" applyFill="1" applyBorder="1" applyAlignment="1">
      <alignment horizontal="left" vertical="top"/>
    </xf>
    <xf numFmtId="0" fontId="0" fillId="0" borderId="13" xfId="0" applyFont="1" applyFill="1" applyBorder="1" applyAlignment="1">
      <alignment horizontal="left" vertical="top"/>
    </xf>
    <xf numFmtId="0" fontId="8" fillId="0" borderId="33" xfId="0" applyFont="1" applyFill="1" applyBorder="1" applyAlignment="1">
      <alignment vertical="center" wrapText="1"/>
    </xf>
    <xf numFmtId="0" fontId="15" fillId="0" borderId="9" xfId="0" applyFont="1" applyFill="1" applyBorder="1" applyAlignment="1">
      <alignment vertical="center" wrapText="1"/>
    </xf>
    <xf numFmtId="0" fontId="8" fillId="0" borderId="10" xfId="0" quotePrefix="1" applyFont="1" applyFill="1" applyBorder="1" applyAlignment="1">
      <alignment horizontal="left" vertical="top" wrapText="1"/>
    </xf>
    <xf numFmtId="0" fontId="8" fillId="0" borderId="14" xfId="0" applyFont="1" applyFill="1" applyBorder="1" applyAlignment="1">
      <alignment horizontal="left" vertical="top"/>
    </xf>
    <xf numFmtId="0" fontId="8" fillId="0" borderId="13" xfId="0" applyFont="1" applyFill="1" applyBorder="1" applyAlignment="1">
      <alignment horizontal="left" vertical="top"/>
    </xf>
    <xf numFmtId="0" fontId="5" fillId="0" borderId="0" xfId="0" applyFont="1" applyFill="1" applyAlignment="1">
      <alignment wrapText="1"/>
    </xf>
    <xf numFmtId="0" fontId="8" fillId="0" borderId="10" xfId="0" applyFont="1" applyFill="1" applyBorder="1" applyAlignment="1">
      <alignment horizontal="left" vertical="top" wrapText="1"/>
    </xf>
    <xf numFmtId="0" fontId="10" fillId="0" borderId="10" xfId="0" applyFont="1" applyFill="1" applyBorder="1" applyAlignment="1">
      <alignment vertical="center"/>
    </xf>
    <xf numFmtId="0" fontId="8" fillId="0" borderId="14" xfId="0" applyFont="1" applyFill="1" applyBorder="1" applyAlignment="1">
      <alignment vertical="center"/>
    </xf>
    <xf numFmtId="0" fontId="10" fillId="0" borderId="13" xfId="0" applyFont="1" applyFill="1" applyBorder="1" applyAlignment="1">
      <alignment horizontal="center" vertical="center" wrapText="1"/>
    </xf>
    <xf numFmtId="0" fontId="17" fillId="0" borderId="0" xfId="0" applyFont="1"/>
    <xf numFmtId="0" fontId="0" fillId="0" borderId="0" xfId="0" applyAlignment="1">
      <alignment horizontal="center"/>
    </xf>
    <xf numFmtId="164" fontId="0" fillId="0" borderId="0" xfId="0" applyNumberFormat="1" applyBorder="1" applyAlignment="1">
      <alignment horizontal="right"/>
    </xf>
    <xf numFmtId="0" fontId="0" fillId="0" borderId="0" xfId="0" applyAlignment="1">
      <alignment horizontal="right"/>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0" fontId="10" fillId="0" borderId="8" xfId="0" applyFont="1" applyFill="1" applyBorder="1" applyAlignment="1">
      <alignment horizontal="center"/>
    </xf>
    <xf numFmtId="0" fontId="10" fillId="0" borderId="19" xfId="0" applyFont="1" applyFill="1" applyBorder="1" applyAlignment="1">
      <alignment horizontal="center"/>
    </xf>
    <xf numFmtId="0" fontId="10" fillId="0" borderId="20" xfId="0" applyFont="1" applyFill="1" applyBorder="1" applyAlignment="1">
      <alignment horizontal="center"/>
    </xf>
    <xf numFmtId="0" fontId="10" fillId="0" borderId="23" xfId="0" applyFont="1" applyFill="1" applyBorder="1" applyAlignment="1">
      <alignment horizontal="center" wrapText="1"/>
    </xf>
    <xf numFmtId="0" fontId="17" fillId="0" borderId="0" xfId="0" applyFont="1" applyAlignment="1"/>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0" fontId="8" fillId="0" borderId="13" xfId="0" applyFont="1" applyFill="1" applyBorder="1" applyAlignment="1">
      <alignment horizontal="left" wrapText="1"/>
    </xf>
    <xf numFmtId="44" fontId="8" fillId="0" borderId="9" xfId="2" applyFont="1" applyFill="1" applyBorder="1" applyAlignment="1">
      <alignment horizontal="center"/>
    </xf>
    <xf numFmtId="0" fontId="8" fillId="0" borderId="10" xfId="0" applyFont="1" applyFill="1" applyBorder="1"/>
    <xf numFmtId="0" fontId="8" fillId="0" borderId="13" xfId="0" applyFont="1" applyFill="1" applyBorder="1" applyAlignment="1">
      <alignment horizontal="left"/>
    </xf>
    <xf numFmtId="0" fontId="5" fillId="0" borderId="0" xfId="0" applyFont="1" applyFill="1" applyAlignment="1">
      <alignment horizontal="left" vertical="center" wrapText="1"/>
    </xf>
    <xf numFmtId="2" fontId="8" fillId="0" borderId="9" xfId="2" applyNumberFormat="1" applyFont="1" applyFill="1" applyBorder="1" applyAlignment="1">
      <alignment horizontal="center"/>
    </xf>
    <xf numFmtId="0" fontId="8" fillId="0" borderId="9" xfId="0" applyFont="1" applyFill="1" applyBorder="1" applyAlignment="1">
      <alignment horizontal="left"/>
    </xf>
    <xf numFmtId="0" fontId="8" fillId="0" borderId="9" xfId="0" applyFont="1" applyFill="1" applyBorder="1" applyAlignment="1">
      <alignment horizontal="right"/>
    </xf>
    <xf numFmtId="164" fontId="0" fillId="0" borderId="0" xfId="0" applyNumberFormat="1" applyAlignment="1">
      <alignment horizontal="right"/>
    </xf>
    <xf numFmtId="165" fontId="10" fillId="0" borderId="9" xfId="0" applyNumberFormat="1" applyFont="1" applyFill="1" applyBorder="1" applyAlignment="1"/>
    <xf numFmtId="0" fontId="4" fillId="0" borderId="9" xfId="0" applyFont="1" applyFill="1" applyBorder="1" applyAlignment="1">
      <alignment horizontal="center" vertical="center"/>
    </xf>
    <xf numFmtId="0" fontId="4" fillId="0" borderId="10"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center" vertical="center"/>
    </xf>
    <xf numFmtId="0" fontId="4" fillId="0" borderId="13" xfId="0" applyFont="1" applyFill="1" applyBorder="1" applyAlignment="1">
      <alignment horizontal="center" vertical="center"/>
    </xf>
    <xf numFmtId="0" fontId="17" fillId="0" borderId="0" xfId="0" applyFont="1" applyFill="1"/>
    <xf numFmtId="0" fontId="0" fillId="0" borderId="0" xfId="0" applyFill="1" applyAlignment="1">
      <alignment horizontal="center"/>
    </xf>
    <xf numFmtId="0" fontId="4" fillId="0" borderId="9" xfId="0" applyFont="1" applyFill="1" applyBorder="1" applyAlignment="1">
      <alignment horizontal="center"/>
    </xf>
    <xf numFmtId="0" fontId="4" fillId="0" borderId="10" xfId="0" applyFont="1" applyFill="1" applyBorder="1" applyAlignment="1">
      <alignment horizontal="center"/>
    </xf>
    <xf numFmtId="0" fontId="4" fillId="0" borderId="14" xfId="0" applyFont="1" applyFill="1" applyBorder="1" applyAlignment="1">
      <alignment horizontal="center"/>
    </xf>
    <xf numFmtId="0" fontId="4" fillId="0" borderId="9" xfId="0" applyFont="1" applyFill="1" applyBorder="1" applyAlignment="1">
      <alignment horizontal="center" wrapText="1"/>
    </xf>
    <xf numFmtId="0" fontId="17" fillId="0" borderId="0" xfId="0" applyFont="1" applyFill="1" applyAlignment="1"/>
    <xf numFmtId="0" fontId="0" fillId="0" borderId="10" xfId="0" applyFont="1" applyFill="1" applyBorder="1" applyAlignment="1">
      <alignment wrapText="1"/>
    </xf>
    <xf numFmtId="0" fontId="0" fillId="0" borderId="14" xfId="0" applyFont="1" applyFill="1" applyBorder="1" applyAlignment="1">
      <alignment wrapText="1"/>
    </xf>
    <xf numFmtId="0" fontId="0" fillId="0" borderId="13" xfId="0" applyFont="1" applyFill="1" applyBorder="1" applyAlignment="1">
      <alignment wrapText="1"/>
    </xf>
    <xf numFmtId="44" fontId="0" fillId="0" borderId="9" xfId="0" applyNumberFormat="1" applyFont="1" applyFill="1" applyBorder="1"/>
    <xf numFmtId="3" fontId="0" fillId="0" borderId="9" xfId="0" applyNumberFormat="1" applyFont="1" applyFill="1" applyBorder="1"/>
    <xf numFmtId="166" fontId="0" fillId="0" borderId="9" xfId="0" applyNumberFormat="1" applyFont="1" applyFill="1" applyBorder="1"/>
    <xf numFmtId="2" fontId="0" fillId="0" borderId="9" xfId="0" applyNumberFormat="1" applyFont="1" applyFill="1" applyBorder="1"/>
    <xf numFmtId="0" fontId="8" fillId="0" borderId="0" xfId="0" applyFont="1" applyFill="1" applyAlignment="1">
      <alignment wrapText="1"/>
    </xf>
    <xf numFmtId="0" fontId="8" fillId="0" borderId="33" xfId="0" applyFont="1" applyFill="1" applyBorder="1" applyAlignment="1">
      <alignment vertical="top" wrapText="1"/>
    </xf>
    <xf numFmtId="0" fontId="0" fillId="0" borderId="10" xfId="0" applyFont="1" applyFill="1" applyBorder="1" applyAlignment="1"/>
    <xf numFmtId="0" fontId="0" fillId="0" borderId="14" xfId="0" applyFont="1" applyFill="1" applyBorder="1" applyAlignment="1"/>
    <xf numFmtId="0" fontId="0" fillId="0" borderId="13" xfId="0" applyFont="1" applyFill="1" applyBorder="1" applyAlignment="1"/>
    <xf numFmtId="0" fontId="0" fillId="0" borderId="10" xfId="0" applyFont="1" applyFill="1" applyBorder="1" applyAlignment="1"/>
    <xf numFmtId="0" fontId="0" fillId="0" borderId="14" xfId="0" applyFont="1" applyFill="1" applyBorder="1" applyAlignment="1"/>
    <xf numFmtId="0" fontId="0" fillId="0" borderId="13" xfId="0" applyFont="1" applyFill="1" applyBorder="1" applyAlignment="1"/>
    <xf numFmtId="0" fontId="0" fillId="0" borderId="10" xfId="0" applyFont="1" applyFill="1" applyBorder="1" applyAlignment="1">
      <alignment horizontal="center"/>
    </xf>
    <xf numFmtId="0" fontId="0" fillId="0" borderId="13" xfId="0" applyFont="1" applyFill="1" applyBorder="1" applyAlignment="1">
      <alignment horizontal="center"/>
    </xf>
    <xf numFmtId="0" fontId="0" fillId="0" borderId="32" xfId="0" applyFont="1" applyBorder="1"/>
    <xf numFmtId="0" fontId="0" fillId="0" borderId="21" xfId="0" applyFont="1" applyBorder="1"/>
    <xf numFmtId="165" fontId="10" fillId="0" borderId="9" xfId="0" applyNumberFormat="1" applyFont="1" applyBorder="1" applyAlignment="1"/>
    <xf numFmtId="0" fontId="0" fillId="0" borderId="21" xfId="0" applyFont="1" applyBorder="1" applyAlignment="1">
      <alignment horizontal="center"/>
    </xf>
    <xf numFmtId="166" fontId="8" fillId="0" borderId="9" xfId="0" applyNumberFormat="1" applyFont="1" applyBorder="1"/>
    <xf numFmtId="44" fontId="0" fillId="0" borderId="9" xfId="0" applyNumberFormat="1" applyFont="1" applyBorder="1"/>
    <xf numFmtId="0" fontId="0" fillId="0" borderId="32" xfId="0" applyFont="1" applyBorder="1" applyAlignment="1">
      <alignment horizontal="left" wrapText="1"/>
    </xf>
    <xf numFmtId="0" fontId="0" fillId="0" borderId="21" xfId="0" applyFont="1" applyBorder="1" applyAlignment="1">
      <alignment horizontal="left" wrapText="1"/>
    </xf>
    <xf numFmtId="0" fontId="0" fillId="0" borderId="22" xfId="0" applyFont="1" applyBorder="1" applyAlignment="1">
      <alignment horizontal="left" wrapText="1"/>
    </xf>
    <xf numFmtId="0" fontId="0" fillId="0" borderId="9" xfId="0" applyFont="1" applyBorder="1" applyAlignment="1">
      <alignment wrapText="1"/>
    </xf>
    <xf numFmtId="0" fontId="15" fillId="0" borderId="10" xfId="0" applyFont="1" applyBorder="1" applyAlignment="1">
      <alignment vertical="center" wrapText="1"/>
    </xf>
    <xf numFmtId="0" fontId="0" fillId="0" borderId="14" xfId="0" applyFont="1" applyBorder="1" applyAlignment="1"/>
    <xf numFmtId="0" fontId="0" fillId="0" borderId="13" xfId="0" applyFont="1" applyBorder="1" applyAlignment="1"/>
    <xf numFmtId="0" fontId="0" fillId="0" borderId="10" xfId="0" applyFont="1" applyFill="1" applyBorder="1" applyAlignment="1">
      <alignment horizontal="left" vertical="center"/>
    </xf>
    <xf numFmtId="0" fontId="0" fillId="0" borderId="14" xfId="0" applyFont="1" applyFill="1" applyBorder="1" applyAlignment="1">
      <alignment horizontal="left" vertical="center"/>
    </xf>
    <xf numFmtId="0" fontId="0" fillId="0" borderId="13" xfId="0" applyFont="1" applyFill="1" applyBorder="1" applyAlignment="1">
      <alignment horizontal="left" vertical="center"/>
    </xf>
    <xf numFmtId="0" fontId="0" fillId="0" borderId="10" xfId="0" applyFont="1" applyBorder="1" applyAlignment="1">
      <alignment horizontal="left" vertical="center"/>
    </xf>
    <xf numFmtId="0" fontId="0" fillId="0" borderId="14" xfId="0" applyFont="1" applyBorder="1" applyAlignment="1">
      <alignment horizontal="left" vertical="center"/>
    </xf>
    <xf numFmtId="0" fontId="0" fillId="0" borderId="13" xfId="0" applyFont="1" applyBorder="1" applyAlignment="1">
      <alignment horizontal="left" vertical="center"/>
    </xf>
    <xf numFmtId="0" fontId="0" fillId="0" borderId="9" xfId="0" applyFont="1" applyFill="1" applyBorder="1" applyAlignment="1">
      <alignment wrapText="1"/>
    </xf>
    <xf numFmtId="0" fontId="0" fillId="0" borderId="9" xfId="0" applyFont="1" applyBorder="1" applyAlignment="1"/>
    <xf numFmtId="0" fontId="0" fillId="0" borderId="9" xfId="0" applyFont="1" applyFill="1" applyBorder="1" applyAlignment="1"/>
    <xf numFmtId="0" fontId="8" fillId="0" borderId="14" xfId="0" applyFont="1" applyFill="1" applyBorder="1" applyAlignment="1">
      <alignment vertical="center" wrapText="1"/>
    </xf>
    <xf numFmtId="0" fontId="8" fillId="0" borderId="9" xfId="0" applyFont="1" applyFill="1" applyBorder="1" applyAlignment="1">
      <alignment vertical="center" wrapText="1"/>
    </xf>
    <xf numFmtId="0" fontId="8" fillId="0" borderId="9" xfId="0" applyFont="1" applyFill="1" applyBorder="1" applyAlignment="1">
      <alignment horizontal="left" vertical="center"/>
    </xf>
    <xf numFmtId="4" fontId="8" fillId="0" borderId="9" xfId="0" applyNumberFormat="1" applyFont="1" applyFill="1" applyBorder="1" applyAlignment="1">
      <alignment vertical="center" wrapText="1"/>
    </xf>
    <xf numFmtId="49" fontId="8" fillId="0" borderId="9" xfId="0" applyNumberFormat="1" applyFont="1" applyFill="1" applyBorder="1" applyAlignment="1">
      <alignment horizontal="right" vertical="center"/>
    </xf>
    <xf numFmtId="8" fontId="0" fillId="0" borderId="9" xfId="0" applyNumberFormat="1" applyFill="1" applyBorder="1" applyAlignment="1">
      <alignment horizontal="right" vertical="center" wrapText="1"/>
    </xf>
    <xf numFmtId="0" fontId="8" fillId="0" borderId="9" xfId="0" applyFont="1" applyFill="1" applyBorder="1" applyAlignment="1">
      <alignment horizontal="right" vertical="center"/>
    </xf>
    <xf numFmtId="8" fontId="4" fillId="0" borderId="9" xfId="0" applyNumberFormat="1" applyFont="1" applyFill="1" applyBorder="1" applyAlignment="1">
      <alignment horizontal="right" vertical="center"/>
    </xf>
    <xf numFmtId="172" fontId="18" fillId="0" borderId="9" xfId="0" applyNumberFormat="1" applyFont="1" applyFill="1" applyBorder="1" applyAlignment="1">
      <alignment horizontal="right" vertical="center"/>
    </xf>
    <xf numFmtId="44" fontId="8" fillId="0" borderId="8" xfId="2" applyFont="1" applyFill="1" applyBorder="1"/>
    <xf numFmtId="0" fontId="8" fillId="0" borderId="9" xfId="0" applyFont="1" applyFill="1" applyBorder="1" applyAlignment="1">
      <alignment horizontal="left" vertical="center" wrapText="1"/>
    </xf>
    <xf numFmtId="0" fontId="8" fillId="0" borderId="10" xfId="0"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3" xfId="0" applyFont="1" applyFill="1" applyBorder="1" applyAlignment="1">
      <alignment horizontal="left" vertical="center" wrapText="1"/>
    </xf>
    <xf numFmtId="8" fontId="0" fillId="0" borderId="9" xfId="0" applyNumberFormat="1" applyFont="1" applyFill="1" applyBorder="1" applyAlignment="1">
      <alignment horizontal="right" vertical="center" wrapText="1"/>
    </xf>
    <xf numFmtId="44" fontId="0" fillId="0" borderId="0" xfId="2" applyFont="1" applyAlignment="1">
      <alignment wrapText="1"/>
    </xf>
    <xf numFmtId="0" fontId="8" fillId="0" borderId="9" xfId="0" applyFont="1" applyFill="1" applyBorder="1" applyAlignment="1">
      <alignment vertical="center"/>
    </xf>
    <xf numFmtId="0" fontId="0" fillId="0" borderId="9" xfId="0" applyFont="1" applyFill="1" applyBorder="1" applyAlignment="1">
      <alignment horizontal="right" vertical="center"/>
    </xf>
    <xf numFmtId="0" fontId="10" fillId="0" borderId="8" xfId="0" applyFont="1" applyFill="1" applyBorder="1" applyAlignment="1">
      <alignment horizontal="right"/>
    </xf>
    <xf numFmtId="0" fontId="10" fillId="0" borderId="10" xfId="0" applyFont="1" applyBorder="1" applyAlignment="1">
      <alignment vertical="center" wrapText="1"/>
    </xf>
    <xf numFmtId="0" fontId="10" fillId="0" borderId="13" xfId="0" applyFont="1" applyBorder="1" applyAlignment="1">
      <alignment vertical="center" wrapText="1"/>
    </xf>
    <xf numFmtId="0" fontId="0" fillId="0" borderId="0" xfId="0" applyFill="1" applyAlignment="1">
      <alignment horizontal="center" wrapText="1"/>
    </xf>
    <xf numFmtId="0" fontId="8" fillId="0" borderId="14" xfId="0" applyFont="1" applyBorder="1" applyAlignment="1">
      <alignment vertical="center"/>
    </xf>
    <xf numFmtId="0" fontId="10" fillId="0" borderId="2" xfId="0" applyFont="1" applyFill="1" applyBorder="1" applyAlignment="1">
      <alignment horizontal="center" vertical="center" wrapText="1"/>
    </xf>
    <xf numFmtId="0" fontId="10" fillId="0" borderId="37" xfId="0" applyFont="1" applyFill="1" applyBorder="1" applyAlignment="1">
      <alignment horizontal="center" vertical="center" wrapText="1"/>
    </xf>
    <xf numFmtId="0" fontId="10" fillId="0" borderId="10" xfId="0" applyFont="1" applyBorder="1" applyAlignment="1">
      <alignment horizontal="left"/>
    </xf>
    <xf numFmtId="0" fontId="10" fillId="0" borderId="14" xfId="0" applyFont="1" applyBorder="1" applyAlignment="1">
      <alignment horizontal="left"/>
    </xf>
    <xf numFmtId="0" fontId="10" fillId="0" borderId="13" xfId="0" applyFont="1" applyBorder="1" applyAlignment="1">
      <alignment horizontal="left"/>
    </xf>
    <xf numFmtId="0" fontId="10" fillId="0" borderId="10" xfId="0" applyFont="1" applyFill="1" applyBorder="1" applyAlignment="1">
      <alignment horizontal="center"/>
    </xf>
    <xf numFmtId="0" fontId="10" fillId="0" borderId="13" xfId="0" applyFont="1" applyFill="1" applyBorder="1" applyAlignment="1">
      <alignment horizontal="center"/>
    </xf>
    <xf numFmtId="0" fontId="8" fillId="0" borderId="9" xfId="0" applyFont="1" applyBorder="1" applyAlignment="1">
      <alignment horizontal="left" vertical="center"/>
    </xf>
    <xf numFmtId="44" fontId="8" fillId="0" borderId="9" xfId="2" applyFont="1" applyFill="1" applyBorder="1" applyAlignment="1">
      <alignment horizontal="center" vertical="center"/>
    </xf>
    <xf numFmtId="2" fontId="8" fillId="0" borderId="9" xfId="0" applyNumberFormat="1" applyFont="1" applyFill="1" applyBorder="1" applyAlignment="1">
      <alignment horizontal="center" vertical="center"/>
    </xf>
    <xf numFmtId="0" fontId="8" fillId="0" borderId="9" xfId="0" applyFont="1" applyBorder="1" applyAlignment="1">
      <alignment horizontal="left"/>
    </xf>
    <xf numFmtId="0" fontId="17" fillId="0" borderId="9" xfId="0" applyFont="1" applyBorder="1" applyAlignment="1">
      <alignment horizontal="center"/>
    </xf>
    <xf numFmtId="0" fontId="17" fillId="0" borderId="9" xfId="0" applyFont="1" applyBorder="1"/>
    <xf numFmtId="0" fontId="17" fillId="0" borderId="9" xfId="0" applyFont="1" applyFill="1" applyBorder="1"/>
    <xf numFmtId="0" fontId="0" fillId="0" borderId="0" xfId="0" applyFill="1" applyAlignment="1"/>
    <xf numFmtId="0" fontId="8" fillId="0" borderId="10" xfId="0" applyFont="1" applyFill="1" applyBorder="1" applyAlignment="1">
      <alignment horizontal="left"/>
    </xf>
    <xf numFmtId="0" fontId="8" fillId="0" borderId="14" xfId="0" applyFont="1" applyFill="1" applyBorder="1" applyAlignment="1">
      <alignment horizontal="left"/>
    </xf>
    <xf numFmtId="0" fontId="8" fillId="0" borderId="13" xfId="0" applyFont="1" applyFill="1" applyBorder="1" applyAlignment="1">
      <alignment horizontal="left"/>
    </xf>
    <xf numFmtId="0" fontId="8" fillId="0" borderId="0" xfId="0" applyFont="1" applyFill="1" applyAlignment="1">
      <alignment vertical="center"/>
    </xf>
    <xf numFmtId="0" fontId="4" fillId="0" borderId="10" xfId="0" applyFont="1" applyBorder="1" applyAlignment="1">
      <alignment horizontal="center"/>
    </xf>
    <xf numFmtId="0" fontId="4" fillId="0" borderId="13" xfId="0" applyFont="1" applyBorder="1" applyAlignment="1">
      <alignment horizontal="center"/>
    </xf>
    <xf numFmtId="0" fontId="0" fillId="0" borderId="0" xfId="0" applyFill="1" applyAlignment="1">
      <alignment horizontal="left" vertical="top" wrapText="1"/>
    </xf>
    <xf numFmtId="0" fontId="0" fillId="0" borderId="0" xfId="0" applyFill="1" applyAlignment="1">
      <alignment vertical="top"/>
    </xf>
    <xf numFmtId="0" fontId="8" fillId="0" borderId="10" xfId="0" applyFont="1" applyBorder="1" applyAlignment="1">
      <alignment horizontal="left"/>
    </xf>
    <xf numFmtId="0" fontId="8" fillId="0" borderId="14" xfId="0" applyFont="1" applyBorder="1" applyAlignment="1">
      <alignment horizontal="left"/>
    </xf>
    <xf numFmtId="0" fontId="8" fillId="0" borderId="13" xfId="0" applyFont="1" applyBorder="1" applyAlignment="1">
      <alignment horizontal="left"/>
    </xf>
    <xf numFmtId="165" fontId="8" fillId="0" borderId="10" xfId="0" applyNumberFormat="1" applyFont="1" applyFill="1" applyBorder="1" applyAlignment="1">
      <alignment vertical="center"/>
    </xf>
    <xf numFmtId="44" fontId="8" fillId="0" borderId="14" xfId="2" applyFont="1" applyFill="1" applyBorder="1" applyAlignment="1">
      <alignment vertical="center"/>
    </xf>
    <xf numFmtId="171" fontId="8" fillId="0" borderId="14" xfId="0" applyNumberFormat="1" applyFont="1" applyFill="1" applyBorder="1" applyAlignment="1">
      <alignment horizontal="center" vertical="center"/>
    </xf>
    <xf numFmtId="171" fontId="8" fillId="0" borderId="20" xfId="0" applyNumberFormat="1" applyFont="1" applyFill="1" applyBorder="1" applyAlignment="1">
      <alignment vertical="center"/>
    </xf>
    <xf numFmtId="164" fontId="8" fillId="0" borderId="9" xfId="2" applyNumberFormat="1" applyFont="1" applyFill="1" applyBorder="1" applyAlignment="1">
      <alignment vertical="center"/>
    </xf>
    <xf numFmtId="165" fontId="8" fillId="0" borderId="10" xfId="0" applyNumberFormat="1" applyFont="1" applyBorder="1" applyAlignment="1"/>
    <xf numFmtId="165" fontId="8" fillId="0" borderId="14" xfId="0" applyNumberFormat="1" applyFont="1" applyBorder="1" applyAlignment="1"/>
    <xf numFmtId="165" fontId="8" fillId="0" borderId="13" xfId="0" applyNumberFormat="1" applyFont="1" applyBorder="1" applyAlignment="1"/>
    <xf numFmtId="0" fontId="8" fillId="0" borderId="9" xfId="0" applyNumberFormat="1" applyFont="1" applyFill="1" applyBorder="1" applyAlignment="1">
      <alignment horizontal="center"/>
    </xf>
    <xf numFmtId="0" fontId="8" fillId="0" borderId="10" xfId="0" applyFont="1" applyFill="1" applyBorder="1" applyAlignment="1">
      <alignment horizontal="left"/>
    </xf>
    <xf numFmtId="0" fontId="8" fillId="0" borderId="14" xfId="0" applyFont="1" applyFill="1" applyBorder="1" applyAlignment="1">
      <alignment horizontal="left"/>
    </xf>
    <xf numFmtId="0" fontId="10" fillId="0" borderId="9" xfId="0" applyFont="1" applyBorder="1" applyAlignment="1">
      <alignment horizontal="center" vertical="center"/>
    </xf>
    <xf numFmtId="3" fontId="8" fillId="0" borderId="9" xfId="0" applyNumberFormat="1" applyFont="1" applyFill="1" applyBorder="1" applyAlignment="1">
      <alignment vertical="center"/>
    </xf>
    <xf numFmtId="37" fontId="8" fillId="0" borderId="9" xfId="2" applyNumberFormat="1" applyFont="1" applyFill="1" applyBorder="1" applyAlignment="1">
      <alignment horizontal="center"/>
    </xf>
    <xf numFmtId="44" fontId="8" fillId="0" borderId="9" xfId="0" applyNumberFormat="1" applyFont="1" applyFill="1" applyBorder="1" applyAlignment="1">
      <alignment horizontal="center"/>
    </xf>
    <xf numFmtId="44" fontId="8" fillId="0" borderId="9" xfId="2" applyNumberFormat="1" applyFont="1" applyFill="1" applyBorder="1" applyAlignment="1">
      <alignment horizontal="center"/>
    </xf>
    <xf numFmtId="44" fontId="8" fillId="0" borderId="9" xfId="2" applyFont="1" applyBorder="1" applyAlignment="1">
      <alignment horizontal="center"/>
    </xf>
    <xf numFmtId="0" fontId="20" fillId="0" borderId="10" xfId="0" applyFont="1" applyFill="1" applyBorder="1" applyAlignment="1">
      <alignment horizontal="left" vertical="top" wrapText="1"/>
    </xf>
    <xf numFmtId="0" fontId="0" fillId="0" borderId="14" xfId="0" applyFont="1" applyBorder="1" applyAlignment="1">
      <alignment horizontal="left" vertical="top" wrapText="1"/>
    </xf>
    <xf numFmtId="0" fontId="0" fillId="0" borderId="13" xfId="0" applyFont="1" applyBorder="1" applyAlignment="1">
      <alignment horizontal="left" vertical="top" wrapText="1"/>
    </xf>
    <xf numFmtId="0" fontId="20" fillId="2" borderId="10" xfId="0" applyFont="1" applyFill="1" applyBorder="1" applyAlignment="1">
      <alignment horizontal="center" vertical="top" wrapText="1"/>
    </xf>
    <xf numFmtId="0" fontId="20" fillId="2" borderId="14" xfId="0" applyFont="1" applyFill="1" applyBorder="1" applyAlignment="1">
      <alignment horizontal="center" vertical="top" wrapText="1"/>
    </xf>
    <xf numFmtId="0" fontId="20" fillId="2" borderId="13" xfId="0" applyFont="1" applyFill="1" applyBorder="1" applyAlignment="1">
      <alignment horizontal="center" vertical="top" wrapText="1"/>
    </xf>
    <xf numFmtId="0" fontId="8" fillId="0" borderId="0" xfId="0" applyFont="1" applyFill="1" applyBorder="1" applyAlignment="1">
      <alignment horizontal="left" vertical="center" wrapText="1"/>
    </xf>
    <xf numFmtId="0" fontId="10" fillId="0" borderId="14" xfId="0" applyFont="1" applyFill="1" applyBorder="1" applyAlignment="1">
      <alignment vertical="center"/>
    </xf>
    <xf numFmtId="3" fontId="8" fillId="0" borderId="14" xfId="0" applyNumberFormat="1" applyFont="1" applyFill="1" applyBorder="1" applyAlignment="1">
      <alignment vertical="center"/>
    </xf>
    <xf numFmtId="0" fontId="0" fillId="0" borderId="10" xfId="0" applyFont="1" applyFill="1" applyBorder="1" applyAlignment="1">
      <alignment horizontal="center" vertical="center"/>
    </xf>
    <xf numFmtId="0" fontId="0" fillId="0" borderId="13" xfId="0" applyFont="1" applyFill="1" applyBorder="1" applyAlignment="1">
      <alignment vertical="center"/>
    </xf>
    <xf numFmtId="3" fontId="0" fillId="0" borderId="14" xfId="0" applyNumberFormat="1" applyFont="1" applyFill="1" applyBorder="1" applyAlignment="1">
      <alignment vertical="center"/>
    </xf>
    <xf numFmtId="0" fontId="4" fillId="0" borderId="10" xfId="0" applyFont="1" applyFill="1" applyBorder="1" applyAlignment="1">
      <alignment horizontal="left"/>
    </xf>
    <xf numFmtId="0" fontId="4" fillId="0" borderId="14" xfId="0" applyFont="1" applyFill="1" applyBorder="1" applyAlignment="1">
      <alignment horizontal="left"/>
    </xf>
    <xf numFmtId="0" fontId="4" fillId="0" borderId="13" xfId="0" applyFont="1" applyFill="1" applyBorder="1" applyAlignment="1">
      <alignment horizontal="left"/>
    </xf>
    <xf numFmtId="0" fontId="4" fillId="0" borderId="8" xfId="0" applyFont="1" applyFill="1" applyBorder="1" applyAlignment="1">
      <alignment horizontal="center"/>
    </xf>
    <xf numFmtId="0" fontId="4" fillId="0" borderId="19" xfId="0" applyFont="1" applyFill="1" applyBorder="1" applyAlignment="1">
      <alignment horizontal="center"/>
    </xf>
    <xf numFmtId="0" fontId="4" fillId="0" borderId="20" xfId="0" applyFont="1" applyFill="1" applyBorder="1" applyAlignment="1">
      <alignment horizontal="center"/>
    </xf>
    <xf numFmtId="0" fontId="4" fillId="0" borderId="23" xfId="0" applyFont="1" applyFill="1" applyBorder="1" applyAlignment="1">
      <alignment horizontal="center" wrapText="1"/>
    </xf>
    <xf numFmtId="0" fontId="0" fillId="0" borderId="10" xfId="0" applyFont="1" applyFill="1" applyBorder="1"/>
    <xf numFmtId="0" fontId="0" fillId="0" borderId="9" xfId="0" applyFont="1" applyFill="1" applyBorder="1" applyAlignment="1">
      <alignment horizontal="left"/>
    </xf>
    <xf numFmtId="0" fontId="0" fillId="0" borderId="9" xfId="0" applyFont="1" applyFill="1" applyBorder="1" applyAlignment="1">
      <alignment horizontal="left"/>
    </xf>
    <xf numFmtId="0" fontId="0" fillId="0" borderId="32" xfId="0" applyFont="1" applyFill="1" applyBorder="1" applyAlignment="1">
      <alignment horizontal="center"/>
    </xf>
    <xf numFmtId="0" fontId="0" fillId="0" borderId="21" xfId="0" applyFont="1" applyFill="1" applyBorder="1" applyAlignment="1">
      <alignment horizontal="center"/>
    </xf>
    <xf numFmtId="0" fontId="0" fillId="0" borderId="21" xfId="0" applyFont="1" applyFill="1" applyBorder="1"/>
    <xf numFmtId="0" fontId="0" fillId="0" borderId="0" xfId="0" applyFont="1" applyFill="1"/>
    <xf numFmtId="0" fontId="4" fillId="0" borderId="21" xfId="0" applyFont="1" applyFill="1" applyBorder="1" applyAlignment="1">
      <alignment horizontal="right"/>
    </xf>
    <xf numFmtId="44" fontId="0" fillId="0" borderId="21" xfId="2" applyFont="1" applyFill="1" applyBorder="1"/>
    <xf numFmtId="0" fontId="0" fillId="0" borderId="9" xfId="0" applyFont="1" applyFill="1" applyBorder="1" applyAlignment="1">
      <alignment horizontal="left" vertical="top" wrapText="1"/>
    </xf>
    <xf numFmtId="0" fontId="8" fillId="0" borderId="14" xfId="0" applyFont="1" applyBorder="1" applyAlignment="1">
      <alignment horizontal="left" vertical="top"/>
    </xf>
    <xf numFmtId="0" fontId="8" fillId="0" borderId="13" xfId="0" applyFont="1" applyBorder="1" applyAlignment="1">
      <alignment horizontal="left" vertical="top"/>
    </xf>
    <xf numFmtId="0" fontId="8" fillId="0" borderId="9" xfId="0" applyFont="1" applyBorder="1" applyAlignment="1">
      <alignment horizontal="left" vertical="top" wrapText="1"/>
    </xf>
    <xf numFmtId="0" fontId="8" fillId="0" borderId="10" xfId="0" applyFont="1" applyFill="1" applyBorder="1" applyAlignment="1">
      <alignment horizontal="left" vertical="top"/>
    </xf>
    <xf numFmtId="0" fontId="8" fillId="0" borderId="9" xfId="0" quotePrefix="1" applyFont="1" applyFill="1" applyBorder="1" applyAlignment="1">
      <alignment horizontal="left" vertical="top" wrapText="1"/>
    </xf>
    <xf numFmtId="0" fontId="8" fillId="0" borderId="9" xfId="0" applyFont="1" applyFill="1" applyBorder="1" applyAlignment="1">
      <alignment horizontal="left" vertical="top"/>
    </xf>
    <xf numFmtId="164" fontId="0" fillId="0" borderId="0" xfId="0" applyNumberFormat="1" applyFill="1" applyAlignment="1">
      <alignment horizontal="right"/>
    </xf>
    <xf numFmtId="0" fontId="0" fillId="0" borderId="0" xfId="0" applyFill="1" applyAlignment="1">
      <alignment horizontal="right"/>
    </xf>
    <xf numFmtId="3" fontId="0" fillId="0" borderId="14" xfId="1" applyNumberFormat="1" applyFont="1" applyFill="1" applyBorder="1" applyAlignment="1">
      <alignment vertical="center"/>
    </xf>
    <xf numFmtId="0" fontId="4" fillId="0" borderId="10" xfId="0" applyFont="1" applyFill="1" applyBorder="1" applyAlignment="1">
      <alignment horizontal="left"/>
    </xf>
    <xf numFmtId="0" fontId="4" fillId="0" borderId="14" xfId="0" applyFont="1" applyFill="1" applyBorder="1" applyAlignment="1">
      <alignment horizontal="left"/>
    </xf>
    <xf numFmtId="0" fontId="4" fillId="0" borderId="13" xfId="0" applyFont="1" applyFill="1" applyBorder="1" applyAlignment="1">
      <alignment horizontal="left"/>
    </xf>
    <xf numFmtId="166" fontId="0" fillId="0" borderId="10" xfId="0" applyNumberFormat="1" applyFont="1" applyFill="1" applyBorder="1"/>
    <xf numFmtId="0" fontId="4" fillId="0" borderId="9" xfId="0" applyFont="1" applyFill="1" applyBorder="1"/>
    <xf numFmtId="0" fontId="0" fillId="0" borderId="9" xfId="0" applyFont="1" applyBorder="1" applyAlignment="1">
      <alignment horizontal="left" wrapText="1"/>
    </xf>
    <xf numFmtId="0" fontId="0" fillId="0" borderId="10" xfId="0" applyFont="1" applyBorder="1" applyAlignment="1">
      <alignment wrapText="1"/>
    </xf>
    <xf numFmtId="0" fontId="0" fillId="0" borderId="9" xfId="0" applyFont="1" applyBorder="1" applyAlignment="1">
      <alignment horizontal="left" vertical="top" wrapText="1"/>
    </xf>
    <xf numFmtId="0" fontId="0" fillId="0" borderId="10" xfId="0" applyFont="1" applyFill="1" applyBorder="1" applyAlignment="1">
      <alignment horizontal="left" vertical="top" wrapText="1"/>
    </xf>
    <xf numFmtId="0" fontId="0" fillId="0" borderId="14"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0" xfId="0" applyFont="1" applyBorder="1" applyAlignment="1">
      <alignment horizontal="left" vertical="top" wrapText="1"/>
    </xf>
    <xf numFmtId="0" fontId="8" fillId="0" borderId="9" xfId="0" quotePrefix="1" applyFont="1" applyBorder="1" applyAlignment="1">
      <alignment horizontal="left" vertical="top" wrapText="1"/>
    </xf>
    <xf numFmtId="0" fontId="8" fillId="0" borderId="9" xfId="0" applyFont="1" applyBorder="1" applyAlignment="1">
      <alignment horizontal="left" vertical="top"/>
    </xf>
    <xf numFmtId="0" fontId="0" fillId="0" borderId="10" xfId="0" applyFont="1" applyBorder="1" applyAlignment="1">
      <alignment vertical="top" wrapText="1"/>
    </xf>
    <xf numFmtId="0" fontId="0" fillId="0" borderId="14" xfId="0" applyFont="1" applyBorder="1" applyAlignment="1">
      <alignment vertical="top" wrapText="1"/>
    </xf>
    <xf numFmtId="0" fontId="0" fillId="0" borderId="13" xfId="0" applyFont="1" applyBorder="1" applyAlignment="1">
      <alignment vertical="top" wrapText="1"/>
    </xf>
    <xf numFmtId="165" fontId="8" fillId="0" borderId="10" xfId="0" applyNumberFormat="1" applyFont="1" applyFill="1" applyBorder="1" applyAlignment="1"/>
    <xf numFmtId="165" fontId="8" fillId="0" borderId="14" xfId="0" applyNumberFormat="1" applyFont="1" applyFill="1" applyBorder="1" applyAlignment="1"/>
    <xf numFmtId="165" fontId="8" fillId="0" borderId="13" xfId="0" applyNumberFormat="1" applyFont="1" applyFill="1" applyBorder="1" applyAlignment="1"/>
    <xf numFmtId="44" fontId="0" fillId="0" borderId="10" xfId="0" applyNumberFormat="1" applyFont="1" applyFill="1" applyBorder="1"/>
    <xf numFmtId="0" fontId="0" fillId="0" borderId="14" xfId="0" applyFont="1" applyBorder="1" applyAlignment="1">
      <alignment horizontal="left" vertical="top"/>
    </xf>
    <xf numFmtId="0" fontId="0" fillId="0" borderId="13" xfId="0" applyFont="1" applyBorder="1" applyAlignment="1">
      <alignment horizontal="left" vertical="top"/>
    </xf>
    <xf numFmtId="0" fontId="8" fillId="0" borderId="9" xfId="0" applyFont="1" applyFill="1" applyBorder="1" applyAlignment="1">
      <alignment wrapText="1"/>
    </xf>
    <xf numFmtId="165" fontId="8" fillId="0" borderId="9" xfId="0" applyNumberFormat="1" applyFont="1" applyFill="1" applyBorder="1" applyAlignment="1">
      <alignment horizontal="center"/>
    </xf>
    <xf numFmtId="164" fontId="8" fillId="0" borderId="9" xfId="2" applyNumberFormat="1" applyFont="1" applyFill="1" applyBorder="1" applyAlignment="1">
      <alignment horizontal="right"/>
    </xf>
    <xf numFmtId="166" fontId="8" fillId="0" borderId="10" xfId="0" applyNumberFormat="1" applyFont="1" applyFill="1" applyBorder="1" applyAlignment="1">
      <alignment horizontal="center" wrapText="1"/>
    </xf>
    <xf numFmtId="166" fontId="8" fillId="0" borderId="13" xfId="0" applyNumberFormat="1" applyFont="1" applyFill="1" applyBorder="1" applyAlignment="1">
      <alignment horizontal="center" wrapText="1"/>
    </xf>
    <xf numFmtId="8" fontId="8" fillId="0" borderId="9" xfId="2" applyNumberFormat="1" applyFont="1" applyFill="1" applyBorder="1" applyAlignment="1"/>
    <xf numFmtId="0" fontId="8" fillId="0" borderId="9" xfId="0" applyFont="1" applyFill="1" applyBorder="1" applyAlignment="1"/>
    <xf numFmtId="0" fontId="10" fillId="0" borderId="9" xfId="0" applyFont="1" applyFill="1" applyBorder="1" applyAlignment="1"/>
    <xf numFmtId="165" fontId="0" fillId="0" borderId="14" xfId="1" applyNumberFormat="1" applyFont="1" applyFill="1" applyBorder="1" applyAlignment="1">
      <alignment vertical="center"/>
    </xf>
    <xf numFmtId="165" fontId="8" fillId="0" borderId="9" xfId="0" applyNumberFormat="1" applyFont="1" applyFill="1" applyBorder="1" applyAlignment="1"/>
    <xf numFmtId="44" fontId="8" fillId="0" borderId="9" xfId="2" applyFont="1" applyFill="1" applyBorder="1" applyAlignment="1"/>
    <xf numFmtId="171" fontId="8" fillId="0" borderId="9" xfId="0" applyNumberFormat="1" applyFont="1" applyFill="1" applyBorder="1" applyAlignment="1">
      <alignment horizontal="center"/>
    </xf>
    <xf numFmtId="171" fontId="8" fillId="0" borderId="8" xfId="0" applyNumberFormat="1" applyFont="1" applyFill="1" applyBorder="1" applyAlignment="1"/>
    <xf numFmtId="0" fontId="8" fillId="0" borderId="9" xfId="0" applyFont="1" applyFill="1" applyBorder="1" applyAlignment="1">
      <alignment wrapText="1"/>
    </xf>
    <xf numFmtId="0" fontId="8" fillId="0" borderId="9" xfId="0" applyFont="1" applyFill="1" applyBorder="1" applyAlignment="1">
      <alignment horizontal="center" wrapText="1"/>
    </xf>
    <xf numFmtId="49" fontId="8" fillId="0" borderId="9" xfId="0" applyNumberFormat="1" applyFont="1" applyBorder="1" applyAlignment="1">
      <alignment horizontal="center"/>
    </xf>
    <xf numFmtId="8" fontId="0" fillId="0" borderId="9" xfId="0" applyNumberFormat="1" applyFont="1" applyBorder="1" applyAlignment="1">
      <alignment wrapText="1"/>
    </xf>
    <xf numFmtId="0" fontId="8" fillId="0" borderId="13" xfId="0" applyFont="1" applyFill="1" applyBorder="1" applyAlignment="1">
      <alignment horizontal="center" wrapText="1"/>
    </xf>
    <xf numFmtId="8" fontId="0" fillId="0" borderId="9" xfId="0" applyNumberFormat="1" applyFont="1" applyBorder="1"/>
    <xf numFmtId="168" fontId="8" fillId="0" borderId="9" xfId="0" applyNumberFormat="1" applyFont="1" applyBorder="1" applyAlignment="1">
      <alignment horizontal="right"/>
    </xf>
    <xf numFmtId="0" fontId="8" fillId="0" borderId="8" xfId="0" applyFont="1" applyFill="1" applyBorder="1" applyAlignment="1"/>
    <xf numFmtId="7" fontId="8" fillId="0" borderId="8" xfId="2" applyNumberFormat="1" applyFont="1" applyFill="1" applyBorder="1" applyAlignment="1">
      <alignment horizontal="right"/>
    </xf>
    <xf numFmtId="8" fontId="0" fillId="0" borderId="9" xfId="0" applyNumberFormat="1" applyFont="1" applyBorder="1" applyAlignment="1">
      <alignment horizontal="right" wrapText="1"/>
    </xf>
    <xf numFmtId="0" fontId="8" fillId="0" borderId="21" xfId="0" applyFont="1" applyFill="1" applyBorder="1" applyAlignment="1">
      <alignment horizontal="left" vertical="top"/>
    </xf>
    <xf numFmtId="0" fontId="8" fillId="0" borderId="22" xfId="0" applyFont="1" applyFill="1" applyBorder="1" applyAlignment="1">
      <alignment horizontal="left" vertical="top"/>
    </xf>
    <xf numFmtId="0" fontId="10" fillId="0" borderId="8" xfId="0" applyFont="1" applyFill="1" applyBorder="1" applyAlignment="1"/>
    <xf numFmtId="49" fontId="8" fillId="0" borderId="8" xfId="2" applyNumberFormat="1" applyFont="1" applyFill="1" applyBorder="1" applyAlignment="1">
      <alignment horizontal="right"/>
    </xf>
    <xf numFmtId="0" fontId="8" fillId="0" borderId="19" xfId="0" applyFont="1" applyFill="1" applyBorder="1" applyAlignment="1">
      <alignment horizontal="left" vertical="top"/>
    </xf>
    <xf numFmtId="0" fontId="8" fillId="0" borderId="1" xfId="0" applyFont="1" applyFill="1" applyBorder="1" applyAlignment="1">
      <alignment horizontal="left" vertical="top"/>
    </xf>
    <xf numFmtId="0" fontId="8" fillId="0" borderId="20" xfId="0" applyFont="1" applyFill="1" applyBorder="1" applyAlignment="1">
      <alignment horizontal="left" vertical="top"/>
    </xf>
    <xf numFmtId="44" fontId="0" fillId="0" borderId="0" xfId="2" applyFont="1"/>
    <xf numFmtId="8" fontId="8" fillId="0" borderId="9" xfId="0" applyNumberFormat="1" applyFont="1" applyFill="1" applyBorder="1" applyAlignment="1">
      <alignment wrapText="1"/>
    </xf>
    <xf numFmtId="0" fontId="8" fillId="0" borderId="9" xfId="0" applyNumberFormat="1" applyFont="1" applyFill="1" applyBorder="1" applyAlignment="1">
      <alignment wrapText="1"/>
    </xf>
    <xf numFmtId="166" fontId="8" fillId="0" borderId="9" xfId="0" applyNumberFormat="1" applyFont="1" applyFill="1" applyBorder="1" applyAlignment="1">
      <alignment wrapText="1"/>
    </xf>
    <xf numFmtId="0" fontId="10" fillId="0" borderId="19" xfId="0" applyFont="1" applyBorder="1" applyAlignment="1">
      <alignment horizontal="center"/>
    </xf>
    <xf numFmtId="0" fontId="10" fillId="0" borderId="20" xfId="0" applyFont="1" applyBorder="1" applyAlignment="1">
      <alignment horizontal="center"/>
    </xf>
    <xf numFmtId="0" fontId="10" fillId="0" borderId="10" xfId="0" applyFont="1" applyBorder="1" applyAlignment="1">
      <alignment horizontal="center" wrapText="1"/>
    </xf>
    <xf numFmtId="0" fontId="10" fillId="0" borderId="13" xfId="0" applyFont="1" applyBorder="1" applyAlignment="1">
      <alignment horizontal="center" wrapText="1"/>
    </xf>
    <xf numFmtId="0" fontId="10" fillId="0" borderId="10" xfId="0" applyFont="1" applyFill="1" applyBorder="1" applyAlignment="1">
      <alignment horizontal="center"/>
    </xf>
    <xf numFmtId="0" fontId="8" fillId="0" borderId="9" xfId="0" applyFont="1" applyBorder="1" applyAlignment="1">
      <alignment horizontal="center" wrapText="1"/>
    </xf>
    <xf numFmtId="164" fontId="8" fillId="0" borderId="9" xfId="0" applyNumberFormat="1" applyFont="1" applyFill="1" applyBorder="1" applyAlignment="1">
      <alignment wrapText="1"/>
    </xf>
    <xf numFmtId="0" fontId="8" fillId="0" borderId="10" xfId="0" applyFont="1" applyBorder="1" applyAlignment="1">
      <alignment horizontal="center" wrapText="1"/>
    </xf>
    <xf numFmtId="0" fontId="8" fillId="0" borderId="13" xfId="0" applyFont="1" applyBorder="1" applyAlignment="1">
      <alignment horizontal="center" wrapText="1"/>
    </xf>
    <xf numFmtId="166" fontId="8" fillId="0" borderId="10" xfId="0" applyNumberFormat="1" applyFont="1" applyBorder="1" applyAlignment="1">
      <alignment horizontal="center" wrapText="1"/>
    </xf>
    <xf numFmtId="166" fontId="8" fillId="0" borderId="13" xfId="0" applyNumberFormat="1" applyFont="1" applyBorder="1" applyAlignment="1">
      <alignment horizontal="center" wrapText="1"/>
    </xf>
    <xf numFmtId="8" fontId="8" fillId="0" borderId="9" xfId="0" applyNumberFormat="1" applyFont="1" applyBorder="1" applyAlignment="1">
      <alignment wrapText="1"/>
    </xf>
    <xf numFmtId="164" fontId="8" fillId="0" borderId="9" xfId="2" applyNumberFormat="1" applyFont="1" applyFill="1" applyBorder="1" applyAlignment="1"/>
    <xf numFmtId="3" fontId="8" fillId="0" borderId="10" xfId="0" applyNumberFormat="1" applyFont="1" applyBorder="1" applyAlignment="1">
      <alignment horizontal="center" wrapText="1"/>
    </xf>
    <xf numFmtId="164" fontId="8" fillId="0" borderId="13" xfId="2" applyNumberFormat="1" applyFont="1" applyBorder="1" applyAlignment="1">
      <alignment horizontal="center"/>
    </xf>
    <xf numFmtId="166" fontId="8" fillId="0" borderId="10" xfId="0" applyNumberFormat="1" applyFont="1" applyBorder="1" applyAlignment="1">
      <alignment horizontal="center"/>
    </xf>
    <xf numFmtId="166" fontId="8" fillId="0" borderId="13" xfId="0" applyNumberFormat="1" applyFont="1" applyBorder="1" applyAlignment="1">
      <alignment horizontal="center"/>
    </xf>
    <xf numFmtId="44" fontId="1" fillId="0" borderId="9" xfId="2" applyFont="1" applyFill="1" applyBorder="1" applyAlignment="1"/>
    <xf numFmtId="0" fontId="8" fillId="0" borderId="10" xfId="0" applyFont="1" applyBorder="1" applyAlignment="1">
      <alignment horizontal="center"/>
    </xf>
    <xf numFmtId="44" fontId="8" fillId="0" borderId="13" xfId="2" applyFont="1" applyBorder="1" applyAlignment="1"/>
    <xf numFmtId="0" fontId="8" fillId="0" borderId="9" xfId="0" applyFont="1" applyBorder="1" applyAlignment="1">
      <alignment horizontal="left" wrapText="1"/>
    </xf>
    <xf numFmtId="44" fontId="8" fillId="0" borderId="14" xfId="2" applyFont="1" applyBorder="1"/>
    <xf numFmtId="0" fontId="8" fillId="0" borderId="14" xfId="0" applyFont="1" applyBorder="1" applyAlignment="1">
      <alignment horizontal="center"/>
    </xf>
    <xf numFmtId="0" fontId="8" fillId="0" borderId="13" xfId="0" applyFont="1" applyFill="1" applyBorder="1" applyAlignment="1">
      <alignment horizontal="center"/>
    </xf>
    <xf numFmtId="44" fontId="8" fillId="0" borderId="10" xfId="2" applyFont="1" applyBorder="1" applyAlignment="1">
      <alignment horizontal="center" vertical="center" wrapText="1"/>
    </xf>
    <xf numFmtId="44" fontId="8" fillId="0" borderId="14" xfId="2" applyFont="1" applyBorder="1" applyAlignment="1">
      <alignment horizontal="center" vertical="center" wrapText="1"/>
    </xf>
    <xf numFmtId="0" fontId="4" fillId="0" borderId="13" xfId="0" applyFont="1" applyBorder="1" applyAlignment="1">
      <alignment horizontal="center" wrapText="1"/>
    </xf>
    <xf numFmtId="8" fontId="0" fillId="0" borderId="0" xfId="0" applyNumberFormat="1" applyFont="1"/>
    <xf numFmtId="0" fontId="0" fillId="0" borderId="0" xfId="0" applyFill="1" applyAlignment="1">
      <alignment wrapText="1"/>
    </xf>
    <xf numFmtId="0" fontId="8" fillId="0" borderId="14" xfId="0" applyNumberFormat="1" applyFont="1" applyFill="1" applyBorder="1" applyAlignment="1">
      <alignment horizontal="right" vertical="center"/>
    </xf>
    <xf numFmtId="3" fontId="8" fillId="0" borderId="10" xfId="0" applyNumberFormat="1" applyFont="1" applyFill="1" applyBorder="1"/>
    <xf numFmtId="0" fontId="8" fillId="0" borderId="14" xfId="0" applyFont="1" applyFill="1" applyBorder="1" applyAlignment="1">
      <alignment horizontal="center"/>
    </xf>
    <xf numFmtId="3" fontId="8" fillId="0" borderId="33" xfId="0" applyNumberFormat="1" applyFont="1" applyFill="1" applyBorder="1"/>
    <xf numFmtId="0" fontId="22" fillId="0" borderId="9" xfId="0" applyFont="1" applyFill="1" applyBorder="1" applyAlignment="1">
      <alignment horizontal="left" wrapText="1"/>
    </xf>
    <xf numFmtId="0" fontId="8" fillId="0" borderId="0" xfId="0" applyFont="1" applyFill="1" applyBorder="1" applyAlignment="1">
      <alignment horizontal="center" vertical="center" wrapText="1"/>
    </xf>
    <xf numFmtId="0" fontId="8" fillId="0" borderId="0" xfId="0" applyFont="1" applyBorder="1" applyAlignment="1">
      <alignment horizontal="center"/>
    </xf>
    <xf numFmtId="0" fontId="0" fillId="0" borderId="0" xfId="0" applyAlignment="1">
      <alignment horizontal="center" vertical="center"/>
    </xf>
    <xf numFmtId="165" fontId="1" fillId="0" borderId="14" xfId="1" applyNumberFormat="1" applyFont="1" applyFill="1" applyBorder="1" applyAlignment="1">
      <alignment horizontal="center" vertical="center"/>
    </xf>
    <xf numFmtId="0" fontId="10" fillId="0" borderId="0" xfId="0" applyFont="1" applyFill="1" applyAlignment="1">
      <alignment horizontal="center"/>
    </xf>
    <xf numFmtId="0" fontId="10" fillId="0" borderId="32" xfId="0" applyFont="1" applyFill="1" applyBorder="1" applyAlignment="1">
      <alignment horizontal="center" wrapText="1"/>
    </xf>
    <xf numFmtId="0" fontId="10" fillId="0" borderId="22" xfId="0" applyFont="1" applyFill="1" applyBorder="1" applyAlignment="1">
      <alignment horizontal="center" wrapText="1"/>
    </xf>
    <xf numFmtId="0" fontId="10" fillId="0" borderId="10" xfId="0" applyFont="1" applyFill="1" applyBorder="1" applyAlignment="1">
      <alignment horizontal="center" wrapText="1"/>
    </xf>
    <xf numFmtId="0" fontId="10" fillId="0" borderId="13" xfId="0" applyFont="1" applyFill="1" applyBorder="1" applyAlignment="1">
      <alignment wrapText="1"/>
    </xf>
    <xf numFmtId="166" fontId="8" fillId="0" borderId="9" xfId="0" applyNumberFormat="1" applyFont="1" applyFill="1" applyBorder="1" applyAlignment="1">
      <alignment horizontal="center" wrapText="1"/>
    </xf>
    <xf numFmtId="0" fontId="17" fillId="0" borderId="0" xfId="0" applyFont="1" applyFill="1" applyBorder="1"/>
    <xf numFmtId="0" fontId="0" fillId="0" borderId="0" xfId="0" applyFill="1" applyBorder="1" applyAlignment="1">
      <alignment horizontal="center"/>
    </xf>
    <xf numFmtId="164" fontId="0" fillId="0" borderId="0" xfId="0" applyNumberFormat="1" applyFill="1" applyBorder="1" applyAlignment="1">
      <alignment horizontal="right"/>
    </xf>
    <xf numFmtId="0" fontId="0" fillId="0" borderId="0" xfId="0" applyFill="1" applyBorder="1" applyAlignment="1">
      <alignment horizontal="right"/>
    </xf>
    <xf numFmtId="0" fontId="17" fillId="0" borderId="0" xfId="0" applyFont="1" applyFill="1" applyBorder="1" applyAlignment="1"/>
    <xf numFmtId="0" fontId="10" fillId="0" borderId="23" xfId="0" applyFont="1" applyBorder="1" applyAlignment="1">
      <alignment horizontal="center" wrapText="1"/>
    </xf>
    <xf numFmtId="0" fontId="8" fillId="0" borderId="15" xfId="0" applyFont="1" applyBorder="1" applyAlignment="1">
      <alignment horizontal="center" vertical="center" wrapText="1"/>
    </xf>
    <xf numFmtId="0" fontId="8" fillId="0" borderId="9" xfId="0" applyFont="1" applyBorder="1" applyAlignment="1">
      <alignment horizontal="right" wrapText="1"/>
    </xf>
    <xf numFmtId="0" fontId="8" fillId="0" borderId="8" xfId="0" applyFont="1" applyBorder="1" applyAlignment="1">
      <alignment horizontal="center" vertical="center" wrapText="1"/>
    </xf>
    <xf numFmtId="0" fontId="0" fillId="0" borderId="9" xfId="0" applyFont="1" applyBorder="1" applyAlignment="1">
      <alignment horizontal="right"/>
    </xf>
    <xf numFmtId="0" fontId="8" fillId="0" borderId="9" xfId="0" applyNumberFormat="1" applyFont="1" applyFill="1" applyBorder="1" applyAlignment="1">
      <alignment horizontal="center" vertical="center"/>
    </xf>
    <xf numFmtId="0" fontId="8" fillId="0" borderId="0" xfId="0" applyFont="1" applyFill="1" applyBorder="1"/>
    <xf numFmtId="44" fontId="8" fillId="0" borderId="14" xfId="2" applyFont="1" applyFill="1" applyBorder="1" applyAlignment="1">
      <alignment horizontal="center"/>
    </xf>
    <xf numFmtId="0" fontId="8" fillId="0" borderId="14" xfId="0" applyFont="1" applyFill="1" applyBorder="1" applyAlignment="1">
      <alignment horizontal="center" vertical="center"/>
    </xf>
    <xf numFmtId="171" fontId="8" fillId="0" borderId="13" xfId="0" applyNumberFormat="1" applyFont="1" applyFill="1" applyBorder="1" applyAlignment="1">
      <alignment horizontal="center" vertical="center"/>
    </xf>
    <xf numFmtId="166" fontId="8" fillId="0" borderId="9" xfId="0" applyNumberFormat="1" applyFont="1" applyFill="1" applyBorder="1" applyAlignment="1">
      <alignment horizontal="right" vertical="center" wrapText="1"/>
    </xf>
    <xf numFmtId="1" fontId="8" fillId="0" borderId="9" xfId="2" applyNumberFormat="1" applyFont="1" applyFill="1" applyBorder="1" applyAlignment="1">
      <alignment horizontal="right"/>
    </xf>
    <xf numFmtId="166" fontId="8" fillId="0" borderId="9" xfId="0" applyNumberFormat="1" applyFont="1" applyFill="1" applyBorder="1" applyAlignment="1">
      <alignment horizontal="center" vertical="center" wrapText="1"/>
    </xf>
    <xf numFmtId="0" fontId="8" fillId="0" borderId="10" xfId="0" applyFont="1" applyFill="1" applyBorder="1" applyAlignment="1">
      <alignment horizontal="left" vertical="center"/>
    </xf>
    <xf numFmtId="0" fontId="8" fillId="0" borderId="14" xfId="0" applyFont="1" applyFill="1" applyBorder="1" applyAlignment="1">
      <alignment horizontal="left" vertical="center"/>
    </xf>
    <xf numFmtId="0" fontId="8" fillId="0" borderId="13" xfId="0" applyFont="1" applyFill="1" applyBorder="1" applyAlignment="1">
      <alignment horizontal="left" vertical="center"/>
    </xf>
    <xf numFmtId="0" fontId="4" fillId="0" borderId="10" xfId="0" applyFont="1" applyFill="1" applyBorder="1" applyAlignment="1">
      <alignment vertical="center"/>
    </xf>
    <xf numFmtId="0" fontId="4" fillId="0" borderId="13" xfId="0" applyFont="1" applyFill="1" applyBorder="1" applyAlignment="1">
      <alignment vertical="center"/>
    </xf>
    <xf numFmtId="0" fontId="0" fillId="0" borderId="14" xfId="0" applyFont="1" applyFill="1" applyBorder="1" applyAlignment="1">
      <alignment vertical="center" wrapText="1"/>
    </xf>
    <xf numFmtId="165" fontId="0" fillId="0" borderId="14" xfId="1" applyNumberFormat="1" applyFont="1" applyFill="1" applyBorder="1" applyAlignment="1">
      <alignment horizontal="center" vertical="center"/>
    </xf>
    <xf numFmtId="0" fontId="4" fillId="0" borderId="9" xfId="0" applyFont="1" applyBorder="1" applyAlignment="1">
      <alignment horizontal="center"/>
    </xf>
    <xf numFmtId="44" fontId="0" fillId="0" borderId="8" xfId="0" applyNumberFormat="1" applyFont="1" applyFill="1" applyBorder="1" applyAlignment="1">
      <alignment horizontal="center"/>
    </xf>
    <xf numFmtId="0" fontId="0" fillId="0" borderId="19" xfId="0" applyFont="1" applyFill="1" applyBorder="1" applyAlignment="1">
      <alignment horizontal="center"/>
    </xf>
    <xf numFmtId="0" fontId="0" fillId="0" borderId="20" xfId="0" applyFont="1" applyFill="1" applyBorder="1" applyAlignment="1">
      <alignment horizontal="center"/>
    </xf>
    <xf numFmtId="164" fontId="0" fillId="0" borderId="8" xfId="0" applyNumberFormat="1" applyFont="1" applyFill="1" applyBorder="1" applyAlignment="1">
      <alignment horizontal="center"/>
    </xf>
    <xf numFmtId="44" fontId="0" fillId="0" borderId="8" xfId="2" applyFont="1" applyFill="1" applyBorder="1" applyAlignment="1">
      <alignment horizontal="center"/>
    </xf>
    <xf numFmtId="0" fontId="0" fillId="0" borderId="9" xfId="0" applyFont="1" applyFill="1" applyBorder="1" applyAlignment="1">
      <alignment horizontal="left" wrapText="1"/>
    </xf>
    <xf numFmtId="0" fontId="0" fillId="0" borderId="13" xfId="0" applyFont="1" applyFill="1" applyBorder="1" applyAlignment="1">
      <alignment wrapText="1"/>
    </xf>
    <xf numFmtId="0" fontId="0" fillId="0" borderId="19" xfId="0" applyFont="1" applyFill="1" applyBorder="1" applyAlignment="1">
      <alignment wrapText="1"/>
    </xf>
    <xf numFmtId="0" fontId="0" fillId="0" borderId="1" xfId="0" applyFont="1" applyFill="1" applyBorder="1" applyAlignment="1">
      <alignment wrapText="1"/>
    </xf>
    <xf numFmtId="44" fontId="0" fillId="0" borderId="9" xfId="2" applyFont="1" applyFill="1" applyBorder="1" applyAlignment="1">
      <alignment horizontal="center" wrapText="1"/>
    </xf>
    <xf numFmtId="164" fontId="0" fillId="0" borderId="9" xfId="2" applyNumberFormat="1" applyFont="1" applyFill="1" applyBorder="1" applyAlignment="1">
      <alignment horizontal="center"/>
    </xf>
    <xf numFmtId="164" fontId="0" fillId="0" borderId="9" xfId="2" applyNumberFormat="1" applyFont="1" applyBorder="1"/>
    <xf numFmtId="0" fontId="4" fillId="0" borderId="9" xfId="0" applyFont="1" applyBorder="1"/>
    <xf numFmtId="0" fontId="8" fillId="0" borderId="14" xfId="0" applyFont="1" applyBorder="1" applyAlignment="1">
      <alignment horizontal="left" vertical="top" wrapText="1"/>
    </xf>
    <xf numFmtId="0" fontId="8" fillId="0" borderId="13" xfId="0" applyFont="1" applyBorder="1" applyAlignment="1">
      <alignment horizontal="left" vertical="top" wrapText="1"/>
    </xf>
    <xf numFmtId="165" fontId="8" fillId="0" borderId="9" xfId="0" applyNumberFormat="1" applyFont="1" applyFill="1" applyBorder="1" applyAlignment="1">
      <alignment horizontal="right"/>
    </xf>
    <xf numFmtId="0" fontId="0" fillId="0" borderId="0" xfId="0" applyFont="1" applyAlignment="1">
      <alignment horizontal="center"/>
    </xf>
    <xf numFmtId="164" fontId="0" fillId="0" borderId="0" xfId="0" applyNumberFormat="1" applyFont="1" applyAlignment="1">
      <alignment horizontal="right"/>
    </xf>
    <xf numFmtId="0" fontId="0" fillId="0" borderId="0" xfId="0" applyFont="1" applyAlignment="1">
      <alignment horizontal="right"/>
    </xf>
    <xf numFmtId="0" fontId="10" fillId="0" borderId="32" xfId="0" applyFont="1" applyBorder="1" applyAlignment="1">
      <alignment horizontal="center" wrapText="1"/>
    </xf>
    <xf numFmtId="0" fontId="8" fillId="0" borderId="10" xfId="0" applyFont="1" applyBorder="1" applyAlignment="1">
      <alignment horizontal="left"/>
    </xf>
    <xf numFmtId="0" fontId="8" fillId="0" borderId="14" xfId="0" applyFont="1" applyBorder="1" applyAlignment="1">
      <alignment horizontal="left"/>
    </xf>
    <xf numFmtId="0" fontId="8" fillId="0" borderId="13" xfId="0" applyFont="1" applyBorder="1" applyAlignment="1">
      <alignment horizontal="left"/>
    </xf>
    <xf numFmtId="173" fontId="8" fillId="0" borderId="14" xfId="0" applyNumberFormat="1" applyFont="1" applyBorder="1" applyAlignment="1">
      <alignment vertical="center" wrapText="1"/>
    </xf>
    <xf numFmtId="0" fontId="8" fillId="0" borderId="13" xfId="0" applyFont="1" applyBorder="1" applyAlignment="1">
      <alignment vertical="center" wrapText="1"/>
    </xf>
    <xf numFmtId="165" fontId="8" fillId="0" borderId="14" xfId="1" applyNumberFormat="1" applyFont="1" applyBorder="1" applyAlignment="1">
      <alignment horizontal="center" vertical="center"/>
    </xf>
    <xf numFmtId="0" fontId="10" fillId="0" borderId="10" xfId="0" applyFont="1" applyBorder="1" applyAlignment="1">
      <alignment horizontal="center"/>
    </xf>
    <xf numFmtId="0" fontId="10" fillId="0" borderId="13" xfId="0" applyFont="1" applyBorder="1" applyAlignment="1">
      <alignment horizontal="center"/>
    </xf>
    <xf numFmtId="165" fontId="8" fillId="0" borderId="0" xfId="1" applyNumberFormat="1" applyFont="1" applyFill="1" applyAlignment="1">
      <alignment horizontal="center"/>
    </xf>
    <xf numFmtId="166" fontId="8" fillId="0" borderId="10" xfId="0" applyNumberFormat="1" applyFont="1" applyFill="1" applyBorder="1" applyAlignment="1">
      <alignment horizontal="center"/>
    </xf>
    <xf numFmtId="166" fontId="8" fillId="0" borderId="10" xfId="0" applyNumberFormat="1" applyFont="1" applyFill="1" applyBorder="1" applyAlignment="1">
      <alignment horizontal="center"/>
    </xf>
    <xf numFmtId="166" fontId="8" fillId="0" borderId="13" xfId="0" applyNumberFormat="1" applyFont="1" applyFill="1" applyBorder="1" applyAlignment="1">
      <alignment horizontal="center"/>
    </xf>
    <xf numFmtId="8" fontId="8" fillId="0" borderId="9" xfId="2" applyNumberFormat="1" applyFont="1" applyFill="1" applyBorder="1" applyAlignment="1">
      <alignment horizontal="right"/>
    </xf>
    <xf numFmtId="165" fontId="8" fillId="0" borderId="9" xfId="1" applyNumberFormat="1" applyFont="1" applyFill="1" applyBorder="1" applyAlignment="1">
      <alignment horizontal="center"/>
    </xf>
    <xf numFmtId="0" fontId="8" fillId="0" borderId="10" xfId="0" applyFont="1" applyFill="1" applyBorder="1" applyAlignment="1">
      <alignment horizontal="center"/>
    </xf>
    <xf numFmtId="2" fontId="8" fillId="0" borderId="10" xfId="0" applyNumberFormat="1" applyFont="1" applyFill="1" applyBorder="1" applyAlignment="1">
      <alignment horizontal="center" wrapText="1"/>
    </xf>
    <xf numFmtId="2" fontId="8" fillId="0" borderId="13" xfId="0" applyNumberFormat="1" applyFont="1" applyFill="1" applyBorder="1" applyAlignment="1">
      <alignment horizontal="center" wrapText="1"/>
    </xf>
    <xf numFmtId="0" fontId="4" fillId="0" borderId="13" xfId="0" applyFont="1" applyBorder="1" applyAlignment="1">
      <alignment horizontal="center" vertical="center" wrapText="1"/>
    </xf>
    <xf numFmtId="0" fontId="0" fillId="0" borderId="32"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33"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28" xfId="0" applyFont="1" applyFill="1" applyBorder="1" applyAlignment="1">
      <alignment horizontal="left" vertical="top" wrapText="1"/>
    </xf>
    <xf numFmtId="0" fontId="10" fillId="0" borderId="32" xfId="0" applyFont="1" applyBorder="1" applyAlignment="1">
      <alignment horizontal="center" vertical="center" wrapText="1"/>
    </xf>
    <xf numFmtId="0" fontId="10" fillId="0" borderId="22" xfId="0" applyFont="1" applyBorder="1" applyAlignment="1">
      <alignment horizontal="center" vertical="center" wrapText="1"/>
    </xf>
    <xf numFmtId="0" fontId="8" fillId="0" borderId="9" xfId="0" applyNumberFormat="1" applyFont="1" applyBorder="1" applyAlignment="1">
      <alignment vertical="center" wrapText="1"/>
    </xf>
    <xf numFmtId="0" fontId="8" fillId="0" borderId="9" xfId="0" applyFont="1" applyBorder="1" applyAlignment="1">
      <alignment horizontal="left" vertical="top" wrapText="1"/>
    </xf>
    <xf numFmtId="0" fontId="10" fillId="0" borderId="0" xfId="0" applyFont="1" applyAlignment="1">
      <alignment horizontal="center"/>
    </xf>
    <xf numFmtId="44" fontId="8" fillId="0" borderId="14" xfId="2" applyFont="1" applyBorder="1" applyAlignment="1">
      <alignment horizontal="center"/>
    </xf>
    <xf numFmtId="0" fontId="8" fillId="0" borderId="14" xfId="0" applyFont="1" applyBorder="1" applyAlignment="1">
      <alignment horizontal="center" vertical="center"/>
    </xf>
    <xf numFmtId="0" fontId="4" fillId="0" borderId="14" xfId="0" applyFont="1" applyFill="1" applyBorder="1" applyAlignment="1">
      <alignment horizontal="center" vertical="center" wrapText="1"/>
    </xf>
    <xf numFmtId="0" fontId="4" fillId="0" borderId="13" xfId="0" applyFont="1" applyFill="1" applyBorder="1" applyAlignment="1">
      <alignment horizontal="center" vertical="center" wrapText="1"/>
    </xf>
    <xf numFmtId="9" fontId="8" fillId="0" borderId="10" xfId="0" applyNumberFormat="1" applyFont="1" applyFill="1" applyBorder="1"/>
    <xf numFmtId="0" fontId="8" fillId="0" borderId="13" xfId="0" applyFont="1" applyFill="1" applyBorder="1" applyAlignment="1">
      <alignment horizontal="left" wrapText="1"/>
    </xf>
    <xf numFmtId="2" fontId="8" fillId="0" borderId="9" xfId="0" applyNumberFormat="1" applyFont="1" applyFill="1" applyBorder="1" applyAlignment="1">
      <alignment horizontal="center"/>
    </xf>
    <xf numFmtId="0" fontId="8" fillId="0" borderId="10" xfId="0" applyNumberFormat="1" applyFont="1" applyFill="1" applyBorder="1"/>
    <xf numFmtId="9" fontId="8" fillId="0" borderId="9" xfId="0" applyNumberFormat="1" applyFont="1" applyFill="1" applyBorder="1"/>
    <xf numFmtId="0" fontId="8" fillId="0" borderId="9" xfId="0" applyFont="1" applyFill="1" applyBorder="1" applyAlignment="1">
      <alignment horizontal="left" wrapText="1"/>
    </xf>
    <xf numFmtId="0" fontId="22" fillId="0" borderId="9" xfId="0" applyFont="1" applyFill="1" applyBorder="1" applyAlignment="1">
      <alignment horizontal="center" vertical="center"/>
    </xf>
    <xf numFmtId="44" fontId="8" fillId="0" borderId="8" xfId="0" applyNumberFormat="1" applyFont="1" applyFill="1" applyBorder="1" applyAlignment="1">
      <alignment horizontal="center"/>
    </xf>
    <xf numFmtId="165" fontId="8" fillId="0" borderId="19" xfId="0" applyNumberFormat="1" applyFont="1" applyFill="1" applyBorder="1" applyAlignment="1">
      <alignment horizontal="center"/>
    </xf>
    <xf numFmtId="0" fontId="8" fillId="0" borderId="20" xfId="0" applyFont="1" applyFill="1" applyBorder="1" applyAlignment="1">
      <alignment horizontal="center"/>
    </xf>
    <xf numFmtId="2" fontId="8" fillId="0" borderId="13" xfId="0" applyNumberFormat="1" applyFont="1" applyFill="1" applyBorder="1" applyAlignment="1">
      <alignment horizontal="center"/>
    </xf>
    <xf numFmtId="44" fontId="8" fillId="0" borderId="8" xfId="2" applyFont="1" applyFill="1" applyBorder="1" applyAlignment="1">
      <alignment horizontal="center"/>
    </xf>
    <xf numFmtId="165" fontId="0" fillId="0" borderId="9" xfId="1" applyNumberFormat="1" applyFont="1" applyFill="1" applyBorder="1" applyAlignment="1">
      <alignment vertical="center"/>
    </xf>
    <xf numFmtId="165" fontId="8" fillId="0" borderId="13" xfId="1" applyNumberFormat="1" applyFont="1" applyFill="1" applyBorder="1" applyAlignment="1">
      <alignment vertical="center"/>
    </xf>
    <xf numFmtId="165" fontId="8" fillId="0" borderId="14" xfId="0" applyNumberFormat="1" applyFont="1" applyFill="1" applyBorder="1" applyAlignment="1">
      <alignment vertical="center" wrapText="1"/>
    </xf>
    <xf numFmtId="0" fontId="8" fillId="0" borderId="13" xfId="0" applyFont="1" applyFill="1" applyBorder="1" applyAlignment="1">
      <alignment vertical="center" wrapText="1"/>
    </xf>
    <xf numFmtId="0" fontId="10" fillId="0" borderId="13" xfId="0" applyFont="1" applyFill="1" applyBorder="1" applyAlignment="1">
      <alignment horizontal="center" vertical="center" wrapText="1"/>
    </xf>
    <xf numFmtId="44" fontId="1" fillId="0" borderId="9" xfId="2" applyFont="1" applyFill="1" applyBorder="1" applyAlignment="1">
      <alignment horizontal="center" vertical="center"/>
    </xf>
    <xf numFmtId="3" fontId="8" fillId="0" borderId="9" xfId="0" applyNumberFormat="1" applyFont="1" applyFill="1" applyBorder="1" applyAlignment="1">
      <alignment horizontal="center" vertical="center" wrapText="1"/>
    </xf>
    <xf numFmtId="8" fontId="8" fillId="0" borderId="13" xfId="0" applyNumberFormat="1" applyFont="1" applyFill="1" applyBorder="1" applyAlignment="1">
      <alignment horizontal="right" vertical="center" wrapText="1"/>
    </xf>
    <xf numFmtId="165" fontId="0" fillId="0" borderId="13" xfId="1" applyNumberFormat="1" applyFont="1" applyFill="1" applyBorder="1" applyAlignment="1">
      <alignment vertical="center"/>
    </xf>
    <xf numFmtId="0" fontId="10" fillId="0" borderId="13" xfId="0" applyFont="1" applyFill="1" applyBorder="1" applyAlignment="1">
      <alignment horizontal="center" wrapText="1"/>
    </xf>
    <xf numFmtId="0" fontId="10" fillId="0" borderId="10"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13" xfId="0" applyFont="1" applyFill="1" applyBorder="1" applyAlignment="1">
      <alignment vertical="center"/>
    </xf>
    <xf numFmtId="0" fontId="10" fillId="0" borderId="19" xfId="0" applyFont="1" applyFill="1" applyBorder="1" applyAlignment="1">
      <alignment horizontal="center"/>
    </xf>
    <xf numFmtId="0" fontId="10" fillId="0" borderId="20" xfId="0" applyFont="1" applyFill="1" applyBorder="1" applyAlignment="1">
      <alignment horizontal="center"/>
    </xf>
    <xf numFmtId="164" fontId="8" fillId="0" borderId="8" xfId="0" applyNumberFormat="1" applyFont="1" applyFill="1" applyBorder="1" applyAlignment="1">
      <alignment horizontal="center"/>
    </xf>
    <xf numFmtId="3" fontId="8" fillId="0" borderId="10" xfId="0" applyNumberFormat="1" applyFont="1" applyFill="1" applyBorder="1" applyAlignment="1">
      <alignment horizontal="center"/>
    </xf>
    <xf numFmtId="16" fontId="8" fillId="0" borderId="9" xfId="0" quotePrefix="1" applyNumberFormat="1" applyFont="1" applyFill="1" applyBorder="1" applyAlignment="1">
      <alignment horizontal="center"/>
    </xf>
    <xf numFmtId="0" fontId="8" fillId="0" borderId="8" xfId="0" applyNumberFormat="1" applyFont="1" applyFill="1" applyBorder="1" applyAlignment="1">
      <alignment horizontal="center"/>
    </xf>
    <xf numFmtId="164" fontId="8" fillId="0" borderId="9" xfId="2" applyNumberFormat="1" applyFont="1" applyFill="1" applyBorder="1" applyAlignment="1">
      <alignment horizontal="center"/>
    </xf>
    <xf numFmtId="164" fontId="8" fillId="0" borderId="9" xfId="2" applyNumberFormat="1" applyFont="1" applyFill="1" applyBorder="1"/>
    <xf numFmtId="165" fontId="8" fillId="0" borderId="9" xfId="0" applyNumberFormat="1" applyFont="1" applyFill="1" applyBorder="1" applyAlignment="1">
      <alignment horizontal="center" vertical="center"/>
    </xf>
    <xf numFmtId="0" fontId="8" fillId="0" borderId="9" xfId="0" applyNumberFormat="1" applyFont="1" applyBorder="1" applyAlignment="1">
      <alignment horizontal="center" vertical="center"/>
    </xf>
    <xf numFmtId="165" fontId="8" fillId="0" borderId="9" xfId="1" applyNumberFormat="1" applyFont="1" applyBorder="1" applyAlignment="1">
      <alignment horizontal="center" vertical="center"/>
    </xf>
    <xf numFmtId="171" fontId="8" fillId="0" borderId="9" xfId="0" applyNumberFormat="1" applyFont="1" applyBorder="1" applyAlignment="1">
      <alignment horizontal="center" vertical="center"/>
    </xf>
    <xf numFmtId="165" fontId="8" fillId="0" borderId="14" xfId="0" applyNumberFormat="1" applyFont="1" applyBorder="1" applyAlignment="1">
      <alignment vertical="center" wrapText="1"/>
    </xf>
    <xf numFmtId="0" fontId="10" fillId="0" borderId="32" xfId="0" applyFont="1" applyBorder="1" applyAlignment="1">
      <alignment horizontal="center" wrapText="1"/>
    </xf>
    <xf numFmtId="0" fontId="10" fillId="0" borderId="22" xfId="0" applyFont="1" applyBorder="1" applyAlignment="1">
      <alignment horizontal="center" wrapText="1"/>
    </xf>
    <xf numFmtId="0" fontId="0" fillId="0" borderId="33" xfId="0" applyFill="1" applyBorder="1" applyAlignment="1">
      <alignment horizontal="left" vertical="top" wrapText="1"/>
    </xf>
    <xf numFmtId="0" fontId="0" fillId="0" borderId="0" xfId="0" applyFill="1" applyBorder="1" applyAlignment="1">
      <alignment horizontal="left" wrapText="1"/>
    </xf>
    <xf numFmtId="37" fontId="8" fillId="0" borderId="14" xfId="1" applyNumberFormat="1" applyFont="1" applyFill="1" applyBorder="1" applyAlignment="1">
      <alignment vertical="center"/>
    </xf>
    <xf numFmtId="3" fontId="8" fillId="0" borderId="19" xfId="0" applyNumberFormat="1" applyFont="1" applyFill="1" applyBorder="1" applyAlignment="1">
      <alignment horizontal="center"/>
    </xf>
    <xf numFmtId="0" fontId="10" fillId="0" borderId="8" xfId="0" applyFont="1" applyBorder="1" applyAlignment="1">
      <alignment horizontal="center"/>
    </xf>
    <xf numFmtId="0" fontId="8" fillId="0" borderId="10" xfId="0" applyNumberFormat="1" applyFont="1" applyFill="1" applyBorder="1" applyAlignment="1">
      <alignment horizontal="center"/>
    </xf>
    <xf numFmtId="44" fontId="0" fillId="0" borderId="33" xfId="0" applyNumberFormat="1" applyFill="1" applyBorder="1" applyAlignment="1">
      <alignment horizontal="left" vertical="top" wrapText="1"/>
    </xf>
    <xf numFmtId="44" fontId="0" fillId="0" borderId="0" xfId="0" applyNumberFormat="1" applyFill="1" applyBorder="1" applyAlignment="1">
      <alignment horizontal="left" vertical="top" wrapText="1"/>
    </xf>
    <xf numFmtId="0" fontId="8" fillId="0" borderId="10" xfId="0" applyNumberFormat="1" applyFont="1" applyBorder="1" applyAlignment="1">
      <alignment horizontal="center"/>
    </xf>
    <xf numFmtId="166" fontId="8" fillId="0" borderId="9" xfId="2" applyNumberFormat="1" applyFont="1" applyFill="1" applyBorder="1" applyAlignment="1">
      <alignment horizontal="center"/>
    </xf>
    <xf numFmtId="164" fontId="8" fillId="0" borderId="9" xfId="2" applyNumberFormat="1" applyFont="1" applyBorder="1" applyAlignment="1">
      <alignment horizontal="center"/>
    </xf>
    <xf numFmtId="0" fontId="10" fillId="0" borderId="9" xfId="0" applyNumberFormat="1" applyFont="1" applyBorder="1"/>
    <xf numFmtId="44" fontId="8" fillId="0" borderId="0" xfId="2" applyFont="1" applyBorder="1"/>
    <xf numFmtId="0" fontId="24" fillId="3" borderId="16" xfId="0" applyFont="1" applyFill="1" applyBorder="1" applyAlignment="1">
      <alignment horizontal="center" vertical="center"/>
    </xf>
    <xf numFmtId="0" fontId="24" fillId="3" borderId="17" xfId="0" applyFont="1" applyFill="1" applyBorder="1" applyAlignment="1">
      <alignment horizontal="center" vertical="center"/>
    </xf>
    <xf numFmtId="0" fontId="24" fillId="3" borderId="18" xfId="0" applyFont="1" applyFill="1" applyBorder="1" applyAlignment="1">
      <alignment horizontal="center" vertical="center"/>
    </xf>
    <xf numFmtId="164" fontId="17" fillId="0" borderId="0" xfId="0" applyNumberFormat="1" applyFont="1"/>
    <xf numFmtId="0" fontId="4" fillId="0" borderId="25" xfId="0" applyFont="1" applyBorder="1"/>
    <xf numFmtId="164" fontId="4" fillId="0" borderId="25" xfId="0" applyNumberFormat="1" applyFont="1" applyBorder="1" applyAlignment="1">
      <alignment horizontal="center" wrapText="1"/>
    </xf>
    <xf numFmtId="0" fontId="4" fillId="0" borderId="25" xfId="0" applyFont="1" applyBorder="1" applyAlignment="1">
      <alignment horizontal="center"/>
    </xf>
    <xf numFmtId="0" fontId="4" fillId="0" borderId="25" xfId="0" applyFont="1" applyBorder="1" applyAlignment="1">
      <alignment horizontal="center" wrapText="1"/>
    </xf>
    <xf numFmtId="0" fontId="4" fillId="0" borderId="26" xfId="0" applyFont="1" applyBorder="1" applyAlignment="1">
      <alignment horizontal="center" wrapText="1"/>
    </xf>
    <xf numFmtId="0" fontId="4" fillId="0" borderId="0" xfId="0" applyFont="1" applyAlignment="1">
      <alignment horizontal="right"/>
    </xf>
    <xf numFmtId="0" fontId="0" fillId="0" borderId="9" xfId="0" applyFill="1" applyBorder="1" applyAlignment="1">
      <alignment wrapText="1"/>
    </xf>
    <xf numFmtId="164" fontId="8" fillId="0" borderId="9" xfId="0" applyNumberFormat="1" applyFont="1" applyFill="1" applyBorder="1" applyAlignment="1">
      <alignment horizontal="right"/>
    </xf>
    <xf numFmtId="2" fontId="0" fillId="0" borderId="12" xfId="0" applyNumberFormat="1" applyFill="1" applyBorder="1" applyAlignment="1">
      <alignment horizontal="center"/>
    </xf>
    <xf numFmtId="173" fontId="8" fillId="0" borderId="10" xfId="0" applyNumberFormat="1" applyFont="1" applyBorder="1" applyAlignment="1">
      <alignment horizontal="center"/>
    </xf>
    <xf numFmtId="164" fontId="17" fillId="0" borderId="0" xfId="0" applyNumberFormat="1" applyFont="1" applyAlignment="1"/>
    <xf numFmtId="0" fontId="8" fillId="0" borderId="9" xfId="0" applyNumberFormat="1" applyFont="1" applyBorder="1"/>
    <xf numFmtId="166" fontId="8" fillId="0" borderId="9" xfId="0" applyNumberFormat="1" applyFont="1" applyFill="1" applyBorder="1" applyAlignment="1">
      <alignment horizontal="center"/>
    </xf>
    <xf numFmtId="164" fontId="25" fillId="0" borderId="0" xfId="0" applyNumberFormat="1" applyFont="1" applyAlignment="1">
      <alignment horizontal="right"/>
    </xf>
    <xf numFmtId="2" fontId="0" fillId="0" borderId="9" xfId="0" applyNumberFormat="1" applyFill="1" applyBorder="1" applyAlignment="1">
      <alignment horizontal="center"/>
    </xf>
    <xf numFmtId="166" fontId="8" fillId="0" borderId="13" xfId="0" applyNumberFormat="1" applyFont="1" applyFill="1" applyBorder="1" applyAlignment="1">
      <alignment horizontal="center"/>
    </xf>
    <xf numFmtId="0" fontId="0" fillId="0" borderId="9" xfId="0" applyFill="1" applyBorder="1" applyAlignment="1"/>
    <xf numFmtId="0" fontId="0" fillId="0" borderId="9" xfId="0" applyFill="1" applyBorder="1" applyAlignment="1">
      <alignment vertical="center" wrapText="1"/>
    </xf>
    <xf numFmtId="166" fontId="0" fillId="0" borderId="9" xfId="0" applyNumberFormat="1" applyFill="1" applyBorder="1" applyAlignment="1">
      <alignment horizontal="center"/>
    </xf>
    <xf numFmtId="0" fontId="0" fillId="0" borderId="9" xfId="0" applyBorder="1" applyAlignment="1">
      <alignment wrapText="1"/>
    </xf>
    <xf numFmtId="0" fontId="0" fillId="0" borderId="9" xfId="0" applyBorder="1" applyAlignment="1">
      <alignment horizontal="center"/>
    </xf>
    <xf numFmtId="166" fontId="0" fillId="0" borderId="9" xfId="0" applyNumberFormat="1" applyBorder="1" applyAlignment="1">
      <alignment horizontal="center"/>
    </xf>
    <xf numFmtId="0" fontId="0" fillId="0" borderId="12" xfId="0" applyBorder="1" applyAlignment="1">
      <alignment horizontal="center"/>
    </xf>
    <xf numFmtId="3" fontId="8" fillId="0" borderId="10" xfId="0" applyNumberFormat="1" applyFont="1" applyBorder="1" applyAlignment="1">
      <alignment horizontal="center"/>
    </xf>
    <xf numFmtId="0" fontId="0" fillId="0" borderId="5" xfId="0" applyBorder="1" applyAlignment="1">
      <alignment wrapText="1"/>
    </xf>
    <xf numFmtId="164" fontId="0" fillId="0" borderId="5" xfId="0" applyNumberFormat="1" applyFill="1" applyBorder="1" applyAlignment="1">
      <alignment horizontal="right"/>
    </xf>
    <xf numFmtId="0" fontId="0" fillId="0" borderId="5" xfId="0" applyBorder="1" applyAlignment="1">
      <alignment horizontal="center"/>
    </xf>
    <xf numFmtId="166" fontId="0" fillId="0" borderId="5" xfId="0" applyNumberFormat="1" applyBorder="1" applyAlignment="1">
      <alignment horizontal="center"/>
    </xf>
    <xf numFmtId="0" fontId="0" fillId="0" borderId="6" xfId="0" applyBorder="1" applyAlignment="1">
      <alignment horizontal="center"/>
    </xf>
    <xf numFmtId="0" fontId="10" fillId="0" borderId="19" xfId="0" applyFont="1" applyBorder="1" applyAlignment="1">
      <alignment horizontal="center"/>
    </xf>
    <xf numFmtId="0" fontId="10" fillId="0" borderId="20" xfId="0" applyFont="1" applyBorder="1" applyAlignment="1">
      <alignment horizontal="center"/>
    </xf>
    <xf numFmtId="173" fontId="8" fillId="0" borderId="10" xfId="0" applyNumberFormat="1" applyFont="1" applyFill="1" applyBorder="1" applyAlignment="1">
      <alignment horizontal="center"/>
    </xf>
    <xf numFmtId="0" fontId="8" fillId="0" borderId="9" xfId="0" applyNumberFormat="1" applyFont="1" applyFill="1" applyBorder="1"/>
    <xf numFmtId="174" fontId="8" fillId="0" borderId="10" xfId="0" applyNumberFormat="1" applyFont="1" applyFill="1" applyBorder="1" applyAlignment="1">
      <alignment horizontal="center"/>
    </xf>
    <xf numFmtId="0" fontId="0" fillId="0" borderId="14" xfId="0" applyFont="1" applyFill="1" applyBorder="1" applyAlignment="1">
      <alignment vertical="center"/>
    </xf>
    <xf numFmtId="3" fontId="0" fillId="0" borderId="10" xfId="0" applyNumberFormat="1" applyFont="1" applyFill="1" applyBorder="1" applyAlignment="1">
      <alignment horizontal="center"/>
    </xf>
    <xf numFmtId="0" fontId="0" fillId="0" borderId="13" xfId="0" applyFont="1" applyFill="1" applyBorder="1" applyAlignment="1">
      <alignment horizontal="center" wrapText="1"/>
    </xf>
    <xf numFmtId="166" fontId="0" fillId="0" borderId="13" xfId="0" applyNumberFormat="1" applyFont="1" applyFill="1" applyBorder="1" applyAlignment="1">
      <alignment horizontal="center"/>
    </xf>
    <xf numFmtId="0" fontId="0" fillId="0" borderId="10" xfId="0" applyFont="1" applyFill="1" applyBorder="1" applyAlignment="1">
      <alignment horizontal="center"/>
    </xf>
    <xf numFmtId="0" fontId="0" fillId="0" borderId="9" xfId="0" applyNumberFormat="1" applyFont="1" applyFill="1" applyBorder="1"/>
    <xf numFmtId="0" fontId="0" fillId="0" borderId="9" xfId="0" applyFont="1" applyFill="1" applyBorder="1" applyAlignment="1">
      <alignment horizontal="left" wrapText="1"/>
    </xf>
    <xf numFmtId="0" fontId="15" fillId="0" borderId="14" xfId="0" applyFont="1" applyBorder="1" applyAlignment="1">
      <alignment vertical="center" wrapText="1"/>
    </xf>
    <xf numFmtId="0" fontId="15" fillId="0" borderId="13" xfId="0" applyFont="1" applyBorder="1" applyAlignment="1">
      <alignment vertical="center" wrapText="1"/>
    </xf>
    <xf numFmtId="0" fontId="8" fillId="0" borderId="14" xfId="0" applyFont="1" applyFill="1" applyBorder="1" applyAlignment="1">
      <alignment horizontal="left" vertical="top" wrapText="1"/>
    </xf>
    <xf numFmtId="0" fontId="8" fillId="0" borderId="13" xfId="0" applyFont="1" applyFill="1" applyBorder="1" applyAlignment="1">
      <alignment horizontal="left" vertical="top" wrapText="1"/>
    </xf>
    <xf numFmtId="0" fontId="8" fillId="0" borderId="10" xfId="0" quotePrefix="1" applyFont="1" applyBorder="1" applyAlignment="1">
      <alignment horizontal="left" vertical="top" wrapText="1"/>
    </xf>
    <xf numFmtId="0" fontId="8" fillId="0" borderId="14" xfId="0" quotePrefix="1" applyFont="1" applyBorder="1" applyAlignment="1">
      <alignment horizontal="left" vertical="top" wrapText="1"/>
    </xf>
    <xf numFmtId="0" fontId="8" fillId="0" borderId="13" xfId="0" quotePrefix="1" applyFont="1" applyBorder="1" applyAlignment="1">
      <alignment horizontal="left" vertical="top" wrapText="1"/>
    </xf>
    <xf numFmtId="0" fontId="8" fillId="0" borderId="10" xfId="0" applyFont="1" applyBorder="1" applyAlignment="1">
      <alignment horizontal="left" vertical="top" wrapText="1"/>
    </xf>
    <xf numFmtId="0" fontId="10" fillId="0" borderId="23" xfId="0" applyFont="1" applyBorder="1" applyAlignment="1"/>
    <xf numFmtId="164" fontId="8" fillId="0" borderId="0" xfId="0" applyNumberFormat="1" applyFont="1" applyFill="1"/>
    <xf numFmtId="164" fontId="0" fillId="0" borderId="33" xfId="0" applyNumberFormat="1" applyFont="1" applyFill="1" applyBorder="1" applyAlignment="1">
      <alignment vertical="top" wrapText="1"/>
    </xf>
    <xf numFmtId="164" fontId="0" fillId="0" borderId="0" xfId="0" applyNumberFormat="1" applyFont="1" applyFill="1" applyBorder="1" applyAlignment="1">
      <alignment vertical="top" wrapText="1"/>
    </xf>
    <xf numFmtId="2" fontId="10" fillId="0" borderId="9" xfId="0" applyNumberFormat="1" applyFont="1" applyFill="1" applyBorder="1" applyAlignment="1">
      <alignment horizontal="center"/>
    </xf>
    <xf numFmtId="164" fontId="0" fillId="0" borderId="0" xfId="0" applyNumberFormat="1" applyFont="1" applyFill="1"/>
    <xf numFmtId="3" fontId="0" fillId="0" borderId="0" xfId="0" applyNumberFormat="1" applyFont="1" applyFill="1" applyAlignment="1">
      <alignment horizontal="center"/>
    </xf>
    <xf numFmtId="164" fontId="8" fillId="0" borderId="0" xfId="0" applyNumberFormat="1" applyFont="1" applyFill="1" applyAlignment="1">
      <alignment horizontal="center" vertical="center" wrapText="1"/>
    </xf>
    <xf numFmtId="0" fontId="10" fillId="4" borderId="10" xfId="0" applyFont="1" applyFill="1" applyBorder="1" applyAlignment="1">
      <alignment vertical="center"/>
    </xf>
    <xf numFmtId="0" fontId="10" fillId="4" borderId="13" xfId="0" applyFont="1" applyFill="1" applyBorder="1" applyAlignment="1">
      <alignment vertical="center"/>
    </xf>
    <xf numFmtId="164" fontId="8" fillId="0" borderId="0" xfId="0" applyNumberFormat="1" applyFont="1" applyFill="1" applyAlignment="1">
      <alignment horizontal="left" vertical="center"/>
    </xf>
    <xf numFmtId="0" fontId="15" fillId="0" borderId="10" xfId="0" applyFont="1" applyBorder="1" applyAlignment="1">
      <alignment horizontal="left" vertical="top" wrapText="1"/>
    </xf>
    <xf numFmtId="0" fontId="15" fillId="0" borderId="14" xfId="0" applyFont="1" applyBorder="1" applyAlignment="1">
      <alignment horizontal="left" vertical="top" wrapText="1"/>
    </xf>
    <xf numFmtId="0" fontId="15" fillId="0" borderId="13" xfId="0" applyFont="1" applyBorder="1" applyAlignment="1">
      <alignment horizontal="left" vertical="top" wrapText="1"/>
    </xf>
    <xf numFmtId="164" fontId="0" fillId="0" borderId="0" xfId="0" applyNumberFormat="1" applyFont="1" applyFill="1" applyAlignment="1">
      <alignment horizontal="center" vertical="center"/>
    </xf>
    <xf numFmtId="1" fontId="8" fillId="0" borderId="10" xfId="0" applyNumberFormat="1" applyFont="1" applyFill="1" applyBorder="1" applyAlignment="1">
      <alignment horizontal="center"/>
    </xf>
    <xf numFmtId="0" fontId="4" fillId="0" borderId="10" xfId="0" applyFont="1" applyBorder="1" applyAlignment="1">
      <alignment horizontal="center"/>
    </xf>
    <xf numFmtId="0" fontId="4" fillId="0" borderId="13" xfId="0" applyFont="1" applyBorder="1" applyAlignment="1">
      <alignment horizontal="center"/>
    </xf>
    <xf numFmtId="164" fontId="8" fillId="0" borderId="0" xfId="0" applyNumberFormat="1" applyFont="1" applyFill="1" applyAlignment="1">
      <alignment wrapText="1"/>
    </xf>
    <xf numFmtId="0" fontId="10" fillId="0" borderId="14" xfId="0" applyFont="1" applyFill="1" applyBorder="1" applyAlignment="1">
      <alignment horizontal="left" wrapText="1"/>
    </xf>
    <xf numFmtId="0" fontId="10" fillId="0" borderId="13" xfId="0" applyFont="1" applyFill="1" applyBorder="1" applyAlignment="1">
      <alignment horizontal="left" wrapText="1"/>
    </xf>
    <xf numFmtId="0" fontId="8" fillId="0" borderId="36" xfId="0" applyFont="1" applyBorder="1" applyAlignment="1">
      <alignment vertical="top" wrapText="1"/>
    </xf>
    <xf numFmtId="0" fontId="8" fillId="0" borderId="31" xfId="0" applyFont="1" applyBorder="1" applyAlignment="1">
      <alignment vertical="top" wrapText="1"/>
    </xf>
    <xf numFmtId="0" fontId="8" fillId="0" borderId="30" xfId="0" applyFont="1" applyBorder="1" applyAlignment="1">
      <alignment vertical="top" wrapText="1"/>
    </xf>
    <xf numFmtId="0" fontId="8" fillId="0" borderId="0" xfId="0" applyFont="1"/>
    <xf numFmtId="0" fontId="4" fillId="0" borderId="10" xfId="0" applyFont="1" applyBorder="1" applyAlignment="1">
      <alignment horizontal="left" vertical="center" wrapText="1"/>
    </xf>
    <xf numFmtId="0" fontId="4" fillId="0" borderId="13" xfId="0" applyFont="1" applyBorder="1" applyAlignment="1">
      <alignment horizontal="left" vertical="center" wrapText="1"/>
    </xf>
    <xf numFmtId="0" fontId="0" fillId="0" borderId="14" xfId="0" applyFont="1" applyBorder="1" applyAlignment="1">
      <alignment vertical="center"/>
    </xf>
    <xf numFmtId="0" fontId="4" fillId="0" borderId="10" xfId="0" applyFont="1" applyBorder="1" applyAlignment="1">
      <alignment horizontal="left"/>
    </xf>
    <xf numFmtId="0" fontId="4" fillId="0" borderId="14" xfId="0" applyFont="1" applyBorder="1" applyAlignment="1">
      <alignment horizontal="left"/>
    </xf>
    <xf numFmtId="0" fontId="4" fillId="0" borderId="13" xfId="0" applyFont="1" applyBorder="1" applyAlignment="1">
      <alignment horizontal="left"/>
    </xf>
    <xf numFmtId="2" fontId="0" fillId="0" borderId="9" xfId="0" applyNumberFormat="1" applyFont="1" applyFill="1" applyBorder="1" applyAlignment="1">
      <alignment horizontal="center"/>
    </xf>
    <xf numFmtId="44" fontId="0" fillId="0" borderId="9" xfId="2" applyFont="1" applyBorder="1" applyAlignment="1">
      <alignment horizontal="center"/>
    </xf>
    <xf numFmtId="165" fontId="0" fillId="0" borderId="9" xfId="1" applyNumberFormat="1" applyFont="1" applyBorder="1"/>
    <xf numFmtId="0" fontId="0" fillId="0" borderId="9" xfId="0" applyFont="1" applyBorder="1" applyAlignment="1">
      <alignment horizontal="left" wrapText="1"/>
    </xf>
    <xf numFmtId="166" fontId="0" fillId="0" borderId="9" xfId="0" applyNumberFormat="1" applyFont="1" applyFill="1" applyBorder="1" applyAlignment="1">
      <alignment horizontal="center"/>
    </xf>
    <xf numFmtId="165" fontId="0" fillId="0" borderId="9" xfId="1" applyNumberFormat="1" applyFont="1" applyBorder="1" applyAlignment="1">
      <alignment horizontal="center"/>
    </xf>
    <xf numFmtId="9" fontId="0" fillId="0" borderId="9" xfId="0" applyNumberFormat="1" applyFont="1" applyBorder="1"/>
    <xf numFmtId="0" fontId="0" fillId="0" borderId="14" xfId="0" applyFont="1" applyBorder="1" applyAlignment="1">
      <alignment wrapText="1"/>
    </xf>
    <xf numFmtId="0" fontId="0" fillId="0" borderId="13" xfId="0" applyFont="1" applyBorder="1" applyAlignment="1">
      <alignment wrapText="1"/>
    </xf>
    <xf numFmtId="0" fontId="8" fillId="0" borderId="10" xfId="0" applyFont="1" applyBorder="1" applyAlignment="1">
      <alignment horizontal="left" wrapText="1"/>
    </xf>
    <xf numFmtId="0" fontId="8" fillId="0" borderId="14" xfId="0" applyFont="1" applyBorder="1" applyAlignment="1">
      <alignment horizontal="left" wrapText="1"/>
    </xf>
    <xf numFmtId="0" fontId="8" fillId="0" borderId="13" xfId="0" applyFont="1" applyBorder="1" applyAlignment="1">
      <alignment horizontal="left" wrapText="1"/>
    </xf>
    <xf numFmtId="175" fontId="8" fillId="0" borderId="10" xfId="0" applyNumberFormat="1" applyFont="1" applyBorder="1" applyAlignment="1">
      <alignment horizontal="center" wrapText="1"/>
    </xf>
    <xf numFmtId="175" fontId="8" fillId="0" borderId="13" xfId="0" applyNumberFormat="1" applyFont="1" applyBorder="1" applyAlignment="1">
      <alignment horizontal="center" wrapText="1"/>
    </xf>
    <xf numFmtId="2" fontId="8" fillId="0" borderId="10" xfId="0" applyNumberFormat="1" applyFont="1" applyFill="1" applyBorder="1" applyAlignment="1">
      <alignment horizontal="center"/>
    </xf>
    <xf numFmtId="44" fontId="8" fillId="0" borderId="9" xfId="2" applyFont="1" applyBorder="1" applyAlignment="1">
      <alignment horizontal="right"/>
    </xf>
    <xf numFmtId="44" fontId="8" fillId="0" borderId="9" xfId="2" applyFont="1" applyFill="1" applyBorder="1" applyAlignment="1">
      <alignment horizontal="right"/>
    </xf>
    <xf numFmtId="164" fontId="8" fillId="0" borderId="0" xfId="0" applyNumberFormat="1" applyFont="1" applyFill="1" applyAlignment="1">
      <alignment vertical="center"/>
    </xf>
    <xf numFmtId="164" fontId="8" fillId="0" borderId="8" xfId="0" applyNumberFormat="1" applyFont="1" applyFill="1" applyBorder="1" applyAlignment="1">
      <alignment horizontal="right"/>
    </xf>
    <xf numFmtId="2" fontId="8" fillId="0" borderId="19" xfId="0" applyNumberFormat="1" applyFont="1" applyFill="1" applyBorder="1" applyAlignment="1">
      <alignment horizontal="center"/>
    </xf>
    <xf numFmtId="164" fontId="0" fillId="0" borderId="0" xfId="0" applyNumberFormat="1" applyFont="1" applyFill="1" applyAlignment="1">
      <alignment wrapText="1"/>
    </xf>
    <xf numFmtId="0" fontId="0" fillId="0" borderId="0" xfId="0" applyAlignment="1">
      <alignment horizontal="center" wrapText="1"/>
    </xf>
    <xf numFmtId="164" fontId="0" fillId="0" borderId="0" xfId="0" applyNumberFormat="1" applyAlignment="1">
      <alignment horizontal="right" wrapText="1"/>
    </xf>
    <xf numFmtId="0" fontId="0" fillId="0" borderId="0" xfId="0" applyAlignment="1">
      <alignment horizontal="right" wrapText="1"/>
    </xf>
    <xf numFmtId="0" fontId="10" fillId="4" borderId="10" xfId="0" applyFont="1" applyFill="1" applyBorder="1" applyAlignment="1">
      <alignment vertical="center" wrapText="1"/>
    </xf>
    <xf numFmtId="0" fontId="10" fillId="4" borderId="13" xfId="0" applyFont="1" applyFill="1" applyBorder="1" applyAlignment="1">
      <alignment vertical="center" wrapText="1"/>
    </xf>
    <xf numFmtId="0" fontId="10" fillId="0" borderId="10" xfId="0" applyFont="1" applyBorder="1" applyAlignment="1">
      <alignment horizontal="center" vertical="center"/>
    </xf>
    <xf numFmtId="0" fontId="10" fillId="0" borderId="14" xfId="0" applyFont="1" applyBorder="1" applyAlignment="1">
      <alignment horizontal="center" vertical="center"/>
    </xf>
    <xf numFmtId="0" fontId="10" fillId="0" borderId="13" xfId="0" applyFont="1" applyBorder="1" applyAlignment="1">
      <alignment horizontal="center" vertical="center"/>
    </xf>
    <xf numFmtId="164" fontId="0" fillId="0" borderId="9" xfId="2" applyNumberFormat="1" applyFont="1" applyFill="1" applyBorder="1"/>
    <xf numFmtId="3" fontId="8" fillId="0" borderId="9" xfId="0" applyNumberFormat="1" applyFont="1" applyBorder="1"/>
    <xf numFmtId="0" fontId="8" fillId="0" borderId="36" xfId="0" applyFont="1" applyFill="1" applyBorder="1" applyAlignment="1">
      <alignment horizontal="left" wrapText="1"/>
    </xf>
    <xf numFmtId="0" fontId="8" fillId="0" borderId="30" xfId="0" applyFont="1" applyFill="1" applyBorder="1" applyAlignment="1">
      <alignment horizontal="left" wrapText="1"/>
    </xf>
    <xf numFmtId="0" fontId="8" fillId="0" borderId="10" xfId="0" applyFont="1" applyFill="1" applyBorder="1" applyAlignment="1">
      <alignment horizontal="left" wrapText="1"/>
    </xf>
    <xf numFmtId="0" fontId="8" fillId="0" borderId="14" xfId="0" applyFont="1" applyFill="1" applyBorder="1" applyAlignment="1">
      <alignment horizontal="left" wrapText="1"/>
    </xf>
    <xf numFmtId="176" fontId="8" fillId="0" borderId="10" xfId="0" applyNumberFormat="1" applyFont="1" applyFill="1" applyBorder="1"/>
    <xf numFmtId="0" fontId="0" fillId="0" borderId="13" xfId="0" applyFont="1" applyFill="1" applyBorder="1" applyAlignment="1">
      <alignment horizontal="left" wrapText="1"/>
    </xf>
    <xf numFmtId="0" fontId="0" fillId="0" borderId="8" xfId="0" applyFont="1" applyBorder="1" applyAlignment="1">
      <alignment horizontal="center" vertical="center"/>
    </xf>
    <xf numFmtId="0" fontId="0" fillId="0" borderId="0" xfId="0" applyFont="1" applyFill="1" applyBorder="1" applyAlignment="1">
      <alignment horizontal="center"/>
    </xf>
    <xf numFmtId="0" fontId="0" fillId="0" borderId="0" xfId="0" applyFont="1" applyFill="1" applyBorder="1"/>
    <xf numFmtId="164" fontId="0" fillId="0" borderId="0" xfId="0" applyNumberFormat="1" applyFont="1" applyFill="1" applyBorder="1" applyAlignment="1">
      <alignment horizontal="right"/>
    </xf>
    <xf numFmtId="0" fontId="0" fillId="0" borderId="0" xfId="0" applyFont="1" applyFill="1" applyBorder="1" applyAlignment="1">
      <alignment horizontal="right"/>
    </xf>
    <xf numFmtId="44" fontId="8" fillId="0" borderId="0" xfId="2" applyFont="1" applyFill="1" applyBorder="1"/>
    <xf numFmtId="171" fontId="8" fillId="0" borderId="9" xfId="0" applyNumberFormat="1" applyFont="1" applyFill="1" applyBorder="1" applyAlignment="1">
      <alignment vertical="center"/>
    </xf>
    <xf numFmtId="165" fontId="8" fillId="0" borderId="13" xfId="1" applyNumberFormat="1" applyFont="1" applyFill="1" applyBorder="1" applyAlignment="1">
      <alignment horizontal="right" vertical="center"/>
    </xf>
    <xf numFmtId="0" fontId="0" fillId="0" borderId="34" xfId="0" applyFont="1" applyFill="1" applyBorder="1" applyAlignment="1">
      <alignment horizontal="left" vertical="center"/>
    </xf>
    <xf numFmtId="0" fontId="0" fillId="0" borderId="39" xfId="0" applyFont="1" applyFill="1" applyBorder="1" applyAlignment="1">
      <alignment horizontal="left" vertical="center"/>
    </xf>
    <xf numFmtId="0" fontId="4" fillId="0" borderId="9" xfId="0" applyFont="1" applyFill="1" applyBorder="1" applyAlignment="1">
      <alignment horizontal="center" vertical="center" wrapText="1"/>
    </xf>
    <xf numFmtId="0" fontId="8" fillId="0" borderId="40" xfId="0" applyFont="1" applyFill="1" applyBorder="1" applyAlignment="1">
      <alignment horizontal="center" vertical="center" wrapText="1"/>
    </xf>
    <xf numFmtId="3" fontId="0" fillId="0" borderId="37" xfId="0" applyNumberFormat="1" applyFont="1" applyFill="1" applyBorder="1" applyAlignment="1">
      <alignment vertical="center"/>
    </xf>
    <xf numFmtId="0" fontId="0" fillId="0" borderId="40"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0" xfId="0" applyFont="1" applyFill="1" applyBorder="1" applyAlignment="1">
      <alignment horizontal="center" wrapText="1"/>
    </xf>
    <xf numFmtId="0" fontId="0" fillId="0" borderId="19" xfId="0" applyNumberFormat="1" applyFont="1" applyFill="1" applyBorder="1" applyAlignment="1">
      <alignment horizontal="center"/>
    </xf>
    <xf numFmtId="44" fontId="0" fillId="0" borderId="20" xfId="2" applyFont="1" applyFill="1" applyBorder="1" applyAlignment="1">
      <alignment horizontal="center"/>
    </xf>
    <xf numFmtId="0" fontId="0" fillId="0" borderId="10" xfId="0" applyNumberFormat="1" applyFont="1" applyFill="1" applyBorder="1"/>
    <xf numFmtId="44" fontId="0" fillId="0" borderId="13" xfId="2" applyFont="1" applyFill="1" applyBorder="1" applyAlignment="1">
      <alignment horizontal="left" wrapText="1"/>
    </xf>
    <xf numFmtId="0" fontId="0" fillId="0" borderId="19" xfId="0" applyFont="1" applyFill="1" applyBorder="1" applyAlignment="1">
      <alignment wrapText="1"/>
    </xf>
    <xf numFmtId="0" fontId="0" fillId="0" borderId="1" xfId="0" applyFont="1" applyFill="1" applyBorder="1" applyAlignment="1"/>
    <xf numFmtId="0" fontId="0" fillId="0" borderId="20" xfId="0" applyFont="1" applyFill="1" applyBorder="1" applyAlignment="1"/>
    <xf numFmtId="177" fontId="0" fillId="0" borderId="9" xfId="2" applyNumberFormat="1" applyFont="1" applyFill="1" applyBorder="1"/>
    <xf numFmtId="0" fontId="8" fillId="0" borderId="34" xfId="0" applyFont="1" applyFill="1" applyBorder="1" applyAlignment="1">
      <alignment horizontal="left" vertical="top"/>
    </xf>
    <xf numFmtId="0" fontId="8" fillId="0" borderId="39" xfId="0" applyFont="1" applyFill="1" applyBorder="1" applyAlignment="1">
      <alignment horizontal="left" vertical="top"/>
    </xf>
    <xf numFmtId="0" fontId="8" fillId="0" borderId="35" xfId="0" applyFont="1" applyFill="1" applyBorder="1" applyAlignment="1">
      <alignment horizontal="left" vertical="top"/>
    </xf>
    <xf numFmtId="0" fontId="0" fillId="0" borderId="34" xfId="0" applyFont="1" applyBorder="1" applyAlignment="1">
      <alignment horizontal="left" vertical="top" wrapText="1"/>
    </xf>
    <xf numFmtId="0" fontId="0" fillId="0" borderId="39" xfId="0" applyFont="1" applyBorder="1" applyAlignment="1">
      <alignment horizontal="left" vertical="top" wrapText="1"/>
    </xf>
    <xf numFmtId="0" fontId="0" fillId="0" borderId="35" xfId="0" applyFont="1" applyBorder="1" applyAlignment="1">
      <alignment horizontal="left" vertical="top" wrapText="1"/>
    </xf>
    <xf numFmtId="0" fontId="4" fillId="0" borderId="9" xfId="0" applyFont="1" applyFill="1" applyBorder="1" applyAlignment="1">
      <alignment horizontal="left" vertical="center" wrapText="1"/>
    </xf>
    <xf numFmtId="3" fontId="0" fillId="0" borderId="13" xfId="0" applyNumberFormat="1" applyFont="1" applyFill="1" applyBorder="1" applyAlignment="1">
      <alignment vertical="center"/>
    </xf>
    <xf numFmtId="0" fontId="17" fillId="0" borderId="33" xfId="0" applyFont="1" applyFill="1" applyBorder="1"/>
    <xf numFmtId="0" fontId="0" fillId="0" borderId="0" xfId="0" applyFont="1" applyFill="1" applyBorder="1" applyAlignment="1">
      <alignment horizontal="left" vertical="top" wrapText="1"/>
    </xf>
    <xf numFmtId="0" fontId="4" fillId="0" borderId="10" xfId="0" applyFont="1" applyFill="1" applyBorder="1" applyAlignment="1">
      <alignment horizontal="right"/>
    </xf>
    <xf numFmtId="0" fontId="4" fillId="0" borderId="14" xfId="0" applyFont="1" applyFill="1" applyBorder="1" applyAlignment="1">
      <alignment horizontal="right"/>
    </xf>
    <xf numFmtId="0" fontId="4" fillId="0" borderId="13" xfId="0" applyFont="1" applyFill="1" applyBorder="1" applyAlignment="1">
      <alignment horizontal="right"/>
    </xf>
    <xf numFmtId="0" fontId="8" fillId="0" borderId="34" xfId="0" applyFont="1" applyFill="1" applyBorder="1" applyAlignment="1">
      <alignment horizontal="left" vertical="top" wrapText="1"/>
    </xf>
    <xf numFmtId="0" fontId="8" fillId="0" borderId="39" xfId="0" applyFont="1" applyFill="1" applyBorder="1" applyAlignment="1">
      <alignment horizontal="left" vertical="top" wrapText="1"/>
    </xf>
    <xf numFmtId="0" fontId="8" fillId="0" borderId="19" xfId="0" applyNumberFormat="1" applyFont="1" applyFill="1" applyBorder="1" applyAlignment="1">
      <alignment horizontal="center"/>
    </xf>
    <xf numFmtId="2" fontId="8" fillId="0" borderId="23" xfId="0" applyNumberFormat="1" applyFont="1" applyFill="1" applyBorder="1" applyAlignment="1">
      <alignment horizontal="center"/>
    </xf>
    <xf numFmtId="0" fontId="8" fillId="0" borderId="19" xfId="0" applyNumberFormat="1" applyFont="1" applyFill="1" applyBorder="1" applyAlignment="1">
      <alignment horizontal="right"/>
    </xf>
    <xf numFmtId="0" fontId="0" fillId="0" borderId="10" xfId="0" applyFill="1" applyBorder="1" applyAlignment="1">
      <alignment horizontal="center"/>
    </xf>
    <xf numFmtId="44" fontId="1" fillId="0" borderId="9" xfId="2" applyFont="1" applyFill="1" applyBorder="1"/>
    <xf numFmtId="0" fontId="0" fillId="0" borderId="33" xfId="0" applyFill="1" applyBorder="1" applyAlignment="1">
      <alignment horizontal="center" wrapText="1"/>
    </xf>
    <xf numFmtId="44" fontId="0" fillId="0" borderId="9" xfId="2" applyFont="1" applyFill="1" applyBorder="1" applyAlignment="1">
      <alignment wrapText="1"/>
    </xf>
    <xf numFmtId="0" fontId="4" fillId="0" borderId="9" xfId="0" applyFont="1" applyFill="1" applyBorder="1" applyAlignment="1">
      <alignment horizontal="right"/>
    </xf>
    <xf numFmtId="165" fontId="0" fillId="0" borderId="9" xfId="1" applyNumberFormat="1" applyFont="1" applyFill="1" applyBorder="1" applyAlignment="1">
      <alignment horizontal="center" vertical="center"/>
    </xf>
    <xf numFmtId="0" fontId="0" fillId="0" borderId="9" xfId="0" applyFont="1" applyFill="1" applyBorder="1" applyAlignment="1"/>
    <xf numFmtId="8" fontId="8" fillId="0" borderId="9" xfId="0" applyNumberFormat="1" applyFont="1" applyFill="1" applyBorder="1" applyAlignment="1">
      <alignment vertical="center" wrapText="1"/>
    </xf>
    <xf numFmtId="0" fontId="8" fillId="0" borderId="9" xfId="0" applyNumberFormat="1" applyFont="1" applyFill="1" applyBorder="1" applyAlignment="1">
      <alignment vertical="center" wrapText="1"/>
    </xf>
    <xf numFmtId="0" fontId="0" fillId="0" borderId="14" xfId="0" applyFont="1" applyBorder="1" applyAlignment="1"/>
    <xf numFmtId="0" fontId="4" fillId="0" borderId="14" xfId="0" applyFont="1" applyBorder="1" applyAlignment="1">
      <alignment wrapText="1"/>
    </xf>
    <xf numFmtId="166" fontId="0" fillId="0" borderId="13" xfId="0" applyNumberFormat="1" applyFont="1" applyBorder="1" applyAlignment="1">
      <alignment vertical="center"/>
    </xf>
    <xf numFmtId="0" fontId="0" fillId="0" borderId="32" xfId="0"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33" xfId="0" applyBorder="1" applyAlignment="1">
      <alignment horizontal="left" vertical="top" wrapText="1"/>
    </xf>
    <xf numFmtId="0" fontId="0" fillId="0" borderId="0" xfId="0" applyBorder="1" applyAlignment="1">
      <alignment horizontal="left" vertical="top" wrapText="1"/>
    </xf>
    <xf numFmtId="0" fontId="0" fillId="0" borderId="28" xfId="0" applyBorder="1" applyAlignment="1">
      <alignment horizontal="left" vertical="top" wrapText="1"/>
    </xf>
    <xf numFmtId="0" fontId="0" fillId="0" borderId="19" xfId="0" applyBorder="1" applyAlignment="1">
      <alignment horizontal="left" vertical="top" wrapText="1"/>
    </xf>
    <xf numFmtId="0" fontId="0" fillId="0" borderId="1" xfId="0" applyBorder="1" applyAlignment="1">
      <alignment horizontal="left" vertical="top" wrapText="1"/>
    </xf>
    <xf numFmtId="0" fontId="0" fillId="0" borderId="20" xfId="0" applyBorder="1" applyAlignment="1">
      <alignment horizontal="left" vertical="top" wrapText="1"/>
    </xf>
    <xf numFmtId="0" fontId="0" fillId="0" borderId="33" xfId="0" applyFont="1" applyFill="1" applyBorder="1" applyAlignment="1">
      <alignment vertical="top" wrapText="1"/>
    </xf>
    <xf numFmtId="0" fontId="10" fillId="0" borderId="14" xfId="0" applyFont="1" applyFill="1" applyBorder="1" applyAlignment="1">
      <alignment horizontal="center" vertical="center" wrapText="1"/>
    </xf>
    <xf numFmtId="0" fontId="10" fillId="0" borderId="10" xfId="0" applyFont="1" applyFill="1" applyBorder="1" applyAlignment="1">
      <alignment horizontal="left"/>
    </xf>
    <xf numFmtId="0" fontId="10" fillId="0" borderId="14" xfId="0" applyFont="1" applyFill="1" applyBorder="1" applyAlignment="1">
      <alignment horizontal="left"/>
    </xf>
    <xf numFmtId="0" fontId="10" fillId="0" borderId="13" xfId="0" applyFont="1" applyFill="1" applyBorder="1" applyAlignment="1">
      <alignment horizontal="left"/>
    </xf>
    <xf numFmtId="44" fontId="8" fillId="0" borderId="9" xfId="2" applyNumberFormat="1" applyFont="1" applyFill="1" applyBorder="1" applyAlignment="1">
      <alignment horizontal="right"/>
    </xf>
    <xf numFmtId="8" fontId="8" fillId="0" borderId="10" xfId="0" applyNumberFormat="1" applyFont="1" applyFill="1" applyBorder="1" applyAlignment="1">
      <alignment horizontal="center"/>
    </xf>
    <xf numFmtId="164" fontId="8" fillId="0" borderId="10" xfId="0" applyNumberFormat="1" applyFont="1" applyFill="1" applyBorder="1" applyAlignment="1">
      <alignment horizontal="center"/>
    </xf>
    <xf numFmtId="44" fontId="8" fillId="0" borderId="21" xfId="2" applyNumberFormat="1" applyFont="1" applyFill="1" applyBorder="1" applyAlignment="1">
      <alignment horizontal="right"/>
    </xf>
    <xf numFmtId="164" fontId="8" fillId="0" borderId="9" xfId="0" applyNumberFormat="1" applyFont="1" applyFill="1" applyBorder="1" applyAlignment="1">
      <alignment horizontal="center"/>
    </xf>
    <xf numFmtId="3" fontId="8" fillId="0" borderId="9" xfId="0" applyNumberFormat="1" applyFont="1" applyFill="1" applyBorder="1"/>
    <xf numFmtId="44" fontId="8" fillId="0" borderId="23" xfId="2" applyNumberFormat="1" applyFont="1" applyFill="1" applyBorder="1" applyAlignment="1">
      <alignment horizontal="right"/>
    </xf>
    <xf numFmtId="0" fontId="22" fillId="0" borderId="10" xfId="0" applyFont="1" applyFill="1" applyBorder="1" applyAlignment="1">
      <alignment horizontal="left" wrapText="1"/>
    </xf>
    <xf numFmtId="0" fontId="22" fillId="0" borderId="14" xfId="0" applyFont="1" applyFill="1" applyBorder="1" applyAlignment="1">
      <alignment horizontal="left" wrapText="1"/>
    </xf>
    <xf numFmtId="0" fontId="22" fillId="0" borderId="13" xfId="0" applyFont="1" applyFill="1" applyBorder="1" applyAlignment="1">
      <alignment horizontal="left" wrapText="1"/>
    </xf>
    <xf numFmtId="0" fontId="8" fillId="0" borderId="14" xfId="0" applyFont="1" applyFill="1" applyBorder="1"/>
    <xf numFmtId="0" fontId="8" fillId="0" borderId="14" xfId="0" applyFont="1" applyFill="1" applyBorder="1" applyAlignment="1">
      <alignment horizontal="right"/>
    </xf>
    <xf numFmtId="0" fontId="10" fillId="0" borderId="10" xfId="0" applyFont="1" applyFill="1" applyBorder="1" applyAlignment="1">
      <alignment horizontal="right"/>
    </xf>
    <xf numFmtId="8" fontId="8" fillId="0" borderId="9" xfId="0" applyNumberFormat="1" applyFont="1" applyFill="1" applyBorder="1" applyAlignment="1">
      <alignment horizontal="center"/>
    </xf>
    <xf numFmtId="0" fontId="16" fillId="0" borderId="10" xfId="0" applyFont="1" applyFill="1" applyBorder="1" applyAlignment="1">
      <alignment vertical="center" wrapText="1"/>
    </xf>
    <xf numFmtId="0" fontId="16" fillId="0" borderId="14" xfId="0" applyFont="1" applyFill="1" applyBorder="1" applyAlignment="1">
      <alignment vertical="center" wrapText="1"/>
    </xf>
    <xf numFmtId="0" fontId="16" fillId="0" borderId="13" xfId="0" applyFont="1" applyFill="1" applyBorder="1" applyAlignment="1">
      <alignment vertical="center" wrapText="1"/>
    </xf>
    <xf numFmtId="0" fontId="16" fillId="0" borderId="10" xfId="0" applyFont="1" applyFill="1" applyBorder="1" applyAlignment="1">
      <alignment vertical="top" wrapText="1"/>
    </xf>
    <xf numFmtId="0" fontId="16" fillId="0" borderId="14" xfId="0" applyFont="1" applyFill="1" applyBorder="1" applyAlignment="1">
      <alignment vertical="top" wrapText="1"/>
    </xf>
    <xf numFmtId="0" fontId="16" fillId="0" borderId="13" xfId="0" applyFont="1" applyFill="1" applyBorder="1" applyAlignment="1">
      <alignment vertical="top" wrapText="1"/>
    </xf>
    <xf numFmtId="0" fontId="8" fillId="0" borderId="10" xfId="0" quotePrefix="1" applyNumberFormat="1" applyFont="1" applyFill="1" applyBorder="1" applyAlignment="1">
      <alignment horizontal="left" vertical="top" wrapText="1"/>
    </xf>
    <xf numFmtId="0" fontId="8" fillId="0" borderId="14" xfId="0" quotePrefix="1" applyNumberFormat="1" applyFont="1" applyFill="1" applyBorder="1" applyAlignment="1">
      <alignment horizontal="left" vertical="top" wrapText="1"/>
    </xf>
    <xf numFmtId="0" fontId="8" fillId="0" borderId="13" xfId="0" quotePrefix="1" applyNumberFormat="1" applyFont="1" applyFill="1" applyBorder="1" applyAlignment="1">
      <alignment horizontal="left" vertical="top" wrapText="1"/>
    </xf>
    <xf numFmtId="0" fontId="8" fillId="0" borderId="34" xfId="0" applyFont="1" applyFill="1" applyBorder="1" applyAlignment="1">
      <alignment horizontal="left" vertical="center" wrapText="1"/>
    </xf>
    <xf numFmtId="0" fontId="8" fillId="0" borderId="39" xfId="0" applyFont="1" applyFill="1" applyBorder="1" applyAlignment="1">
      <alignment horizontal="left" vertical="center" wrapText="1"/>
    </xf>
    <xf numFmtId="0" fontId="8" fillId="0" borderId="35" xfId="0" applyFont="1" applyFill="1" applyBorder="1" applyAlignment="1">
      <alignment horizontal="left" vertical="center" wrapText="1"/>
    </xf>
    <xf numFmtId="0" fontId="8" fillId="0" borderId="35" xfId="0" applyFont="1" applyFill="1" applyBorder="1" applyAlignment="1">
      <alignment horizontal="left" vertical="top" wrapText="1"/>
    </xf>
    <xf numFmtId="0" fontId="8" fillId="0" borderId="14" xfId="0" applyFont="1" applyBorder="1" applyAlignment="1">
      <alignment horizontal="center" vertical="center" wrapText="1"/>
    </xf>
    <xf numFmtId="0" fontId="8" fillId="0" borderId="13" xfId="0" applyFont="1" applyBorder="1" applyAlignment="1">
      <alignment horizontal="center" vertical="center" wrapText="1"/>
    </xf>
    <xf numFmtId="165" fontId="8" fillId="0" borderId="9" xfId="0" applyNumberFormat="1" applyFont="1" applyBorder="1" applyAlignment="1">
      <alignment horizontal="right" vertical="center"/>
    </xf>
    <xf numFmtId="171" fontId="8" fillId="0" borderId="8" xfId="0" applyNumberFormat="1" applyFont="1" applyBorder="1" applyAlignment="1">
      <alignment vertical="center"/>
    </xf>
    <xf numFmtId="166" fontId="8" fillId="0" borderId="10" xfId="0" applyNumberFormat="1" applyFont="1" applyBorder="1" applyAlignment="1">
      <alignment horizontal="center" vertical="center" wrapText="1"/>
    </xf>
    <xf numFmtId="166" fontId="8" fillId="0" borderId="13" xfId="0" applyNumberFormat="1" applyFont="1" applyBorder="1" applyAlignment="1">
      <alignment horizontal="center" vertical="center" wrapText="1"/>
    </xf>
    <xf numFmtId="0" fontId="10" fillId="0" borderId="10" xfId="0" applyFont="1" applyFill="1" applyBorder="1" applyAlignment="1">
      <alignment horizontal="left" wrapText="1"/>
    </xf>
    <xf numFmtId="0" fontId="10" fillId="0" borderId="40" xfId="0" applyFont="1" applyFill="1" applyBorder="1" applyAlignment="1">
      <alignment vertical="center" wrapText="1"/>
    </xf>
    <xf numFmtId="0" fontId="10" fillId="0" borderId="37" xfId="0" applyFont="1" applyFill="1" applyBorder="1" applyAlignment="1">
      <alignment vertical="center" wrapText="1"/>
    </xf>
    <xf numFmtId="0" fontId="29" fillId="0" borderId="0" xfId="0" applyFont="1" applyFill="1" applyAlignment="1">
      <alignment horizontal="left" vertical="top"/>
    </xf>
    <xf numFmtId="0" fontId="8" fillId="0" borderId="33" xfId="0" applyFont="1" applyFill="1" applyBorder="1" applyAlignment="1">
      <alignment vertical="top"/>
    </xf>
    <xf numFmtId="0" fontId="8" fillId="0" borderId="33" xfId="0" applyFont="1" applyFill="1" applyBorder="1" applyAlignment="1">
      <alignment horizontal="left" vertical="top"/>
    </xf>
    <xf numFmtId="0" fontId="8" fillId="0" borderId="33" xfId="0" quotePrefix="1" applyNumberFormat="1" applyFont="1" applyFill="1" applyBorder="1" applyAlignment="1">
      <alignment vertical="top" wrapText="1"/>
    </xf>
    <xf numFmtId="0" fontId="8" fillId="0" borderId="14" xfId="0" applyFont="1" applyFill="1" applyBorder="1" applyAlignment="1">
      <alignment horizontal="center" vertical="center" wrapText="1"/>
    </xf>
    <xf numFmtId="3" fontId="8" fillId="0" borderId="13" xfId="0" applyNumberFormat="1" applyFont="1" applyFill="1" applyBorder="1" applyAlignment="1">
      <alignment horizontal="right" vertical="center"/>
    </xf>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44" fontId="0" fillId="0" borderId="9" xfId="2" applyNumberFormat="1" applyFont="1" applyFill="1" applyBorder="1"/>
    <xf numFmtId="0" fontId="0" fillId="0" borderId="10"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xf numFmtId="0" fontId="0" fillId="0" borderId="13" xfId="0" applyFont="1" applyFill="1" applyBorder="1" applyAlignment="1">
      <alignment horizontal="center"/>
    </xf>
    <xf numFmtId="164" fontId="17" fillId="0" borderId="0" xfId="0" applyNumberFormat="1" applyFont="1" applyAlignment="1">
      <alignment vertical="center"/>
    </xf>
    <xf numFmtId="0" fontId="0" fillId="0" borderId="0" xfId="0" applyAlignment="1">
      <alignment horizontal="right" vertical="center"/>
    </xf>
    <xf numFmtId="0" fontId="0" fillId="0" borderId="10" xfId="0" applyFont="1" applyBorder="1" applyAlignment="1">
      <alignment horizontal="left" vertical="center" wrapText="1"/>
    </xf>
    <xf numFmtId="0" fontId="0" fillId="0" borderId="14" xfId="0" applyFont="1" applyBorder="1" applyAlignment="1">
      <alignment horizontal="left" vertical="center" wrapText="1"/>
    </xf>
    <xf numFmtId="0" fontId="0" fillId="0" borderId="13" xfId="0" applyFont="1" applyBorder="1" applyAlignment="1">
      <alignment horizontal="left" vertical="center" wrapText="1"/>
    </xf>
    <xf numFmtId="0" fontId="0" fillId="0" borderId="10" xfId="0" quotePrefix="1" applyNumberFormat="1" applyFont="1" applyBorder="1" applyAlignment="1">
      <alignment horizontal="left" vertical="top" wrapText="1"/>
    </xf>
    <xf numFmtId="0" fontId="0" fillId="0" borderId="14" xfId="0" quotePrefix="1" applyNumberFormat="1" applyFont="1" applyBorder="1" applyAlignment="1">
      <alignment horizontal="left" vertical="top" wrapText="1"/>
    </xf>
    <xf numFmtId="0" fontId="0" fillId="0" borderId="13" xfId="0" quotePrefix="1" applyNumberFormat="1" applyFont="1" applyBorder="1" applyAlignment="1">
      <alignment horizontal="left" vertical="top" wrapText="1"/>
    </xf>
    <xf numFmtId="0" fontId="10" fillId="0" borderId="9" xfId="0" applyFont="1" applyFill="1" applyBorder="1" applyAlignment="1">
      <alignment vertical="center"/>
    </xf>
    <xf numFmtId="3" fontId="8" fillId="0" borderId="13" xfId="0" applyNumberFormat="1" applyFont="1" applyFill="1" applyBorder="1" applyAlignment="1">
      <alignment vertical="center"/>
    </xf>
    <xf numFmtId="0" fontId="10" fillId="0" borderId="9" xfId="0" applyFont="1" applyFill="1" applyBorder="1" applyAlignment="1">
      <alignment horizontal="left"/>
    </xf>
    <xf numFmtId="0" fontId="10" fillId="0" borderId="9" xfId="0" applyFont="1" applyFill="1" applyBorder="1" applyAlignment="1">
      <alignment horizontal="center"/>
    </xf>
    <xf numFmtId="3" fontId="8" fillId="0" borderId="9" xfId="0" applyNumberFormat="1" applyFont="1" applyFill="1" applyBorder="1" applyAlignment="1"/>
    <xf numFmtId="0" fontId="0" fillId="0" borderId="9" xfId="0" applyNumberFormat="1" applyFont="1" applyFill="1" applyBorder="1" applyAlignment="1">
      <alignment horizontal="center"/>
    </xf>
    <xf numFmtId="0" fontId="0" fillId="0" borderId="15" xfId="0" applyFont="1" applyFill="1" applyBorder="1" applyAlignment="1">
      <alignment horizontal="center"/>
    </xf>
    <xf numFmtId="0" fontId="0" fillId="0" borderId="21" xfId="0" applyFont="1" applyFill="1" applyBorder="1" applyAlignment="1"/>
    <xf numFmtId="0" fontId="0" fillId="0" borderId="9" xfId="0" applyFont="1" applyFill="1" applyBorder="1" applyAlignment="1">
      <alignment horizontal="right"/>
    </xf>
    <xf numFmtId="3" fontId="0" fillId="0" borderId="21" xfId="0" applyNumberFormat="1" applyFont="1" applyFill="1" applyBorder="1" applyAlignment="1"/>
    <xf numFmtId="166" fontId="0" fillId="0" borderId="9" xfId="0" applyNumberFormat="1" applyFont="1" applyFill="1" applyBorder="1" applyAlignment="1"/>
    <xf numFmtId="0" fontId="8" fillId="0" borderId="10" xfId="0" applyFont="1" applyBorder="1" applyAlignment="1">
      <alignment horizontal="left" vertical="top"/>
    </xf>
    <xf numFmtId="0" fontId="10" fillId="0" borderId="40" xfId="0" applyFont="1" applyFill="1" applyBorder="1" applyAlignment="1">
      <alignment vertical="center"/>
    </xf>
    <xf numFmtId="0" fontId="10" fillId="0" borderId="37" xfId="0" applyFont="1" applyFill="1" applyBorder="1" applyAlignment="1">
      <alignment vertical="center"/>
    </xf>
    <xf numFmtId="0" fontId="8" fillId="0" borderId="10" xfId="0" applyFont="1" applyFill="1" applyBorder="1" applyAlignment="1">
      <alignment horizontal="right" wrapText="1"/>
    </xf>
    <xf numFmtId="0" fontId="8" fillId="0" borderId="14" xfId="0" applyFont="1" applyFill="1" applyBorder="1" applyAlignment="1">
      <alignment horizontal="right" wrapText="1"/>
    </xf>
    <xf numFmtId="0" fontId="8" fillId="0" borderId="13" xfId="0" applyFont="1" applyFill="1" applyBorder="1" applyAlignment="1">
      <alignment horizontal="right" wrapText="1"/>
    </xf>
    <xf numFmtId="164" fontId="17" fillId="0" borderId="0" xfId="0" applyNumberFormat="1" applyFont="1" applyFill="1"/>
    <xf numFmtId="0" fontId="0" fillId="0" borderId="10" xfId="0" applyFont="1" applyFill="1" applyBorder="1" applyAlignment="1">
      <alignment horizontal="right"/>
    </xf>
    <xf numFmtId="0" fontId="0" fillId="0" borderId="14" xfId="0" applyFont="1" applyFill="1" applyBorder="1" applyAlignment="1">
      <alignment horizontal="right"/>
    </xf>
    <xf numFmtId="0" fontId="0" fillId="0" borderId="13" xfId="0" applyFont="1" applyFill="1" applyBorder="1" applyAlignment="1">
      <alignment horizontal="right"/>
    </xf>
    <xf numFmtId="3" fontId="8" fillId="0" borderId="9" xfId="0" applyNumberFormat="1" applyFont="1" applyFill="1" applyBorder="1" applyAlignment="1">
      <alignment vertical="center" wrapText="1"/>
    </xf>
    <xf numFmtId="165" fontId="8" fillId="0" borderId="10" xfId="1" applyNumberFormat="1" applyFont="1" applyFill="1" applyBorder="1" applyAlignment="1">
      <alignment horizontal="right" vertical="center" wrapText="1"/>
    </xf>
    <xf numFmtId="165" fontId="8" fillId="0" borderId="13" xfId="1" applyNumberFormat="1" applyFont="1" applyFill="1" applyBorder="1" applyAlignment="1">
      <alignment horizontal="right" vertical="center" wrapText="1"/>
    </xf>
    <xf numFmtId="8" fontId="8" fillId="0" borderId="13" xfId="0" applyNumberFormat="1" applyFont="1" applyFill="1" applyBorder="1" applyAlignment="1">
      <alignment vertical="center" wrapText="1"/>
    </xf>
    <xf numFmtId="8" fontId="8" fillId="0" borderId="9" xfId="2" applyNumberFormat="1" applyFont="1" applyFill="1" applyBorder="1" applyAlignment="1">
      <alignment horizontal="right" vertical="center"/>
    </xf>
    <xf numFmtId="0" fontId="8" fillId="2" borderId="16" xfId="0" applyFont="1" applyFill="1" applyBorder="1" applyAlignment="1">
      <alignment horizontal="right" vertical="center"/>
    </xf>
    <xf numFmtId="0" fontId="8" fillId="2" borderId="17" xfId="0" applyFont="1" applyFill="1" applyBorder="1" applyAlignment="1">
      <alignment horizontal="right" vertical="center"/>
    </xf>
    <xf numFmtId="0" fontId="8" fillId="2" borderId="18" xfId="0" applyFont="1" applyFill="1" applyBorder="1" applyAlignment="1">
      <alignment horizontal="right" vertical="center"/>
    </xf>
    <xf numFmtId="0" fontId="4" fillId="0" borderId="10"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3" xfId="0" applyFont="1" applyFill="1" applyBorder="1" applyAlignment="1">
      <alignment vertical="center" wrapText="1"/>
    </xf>
    <xf numFmtId="3" fontId="0" fillId="0" borderId="14" xfId="0" applyNumberFormat="1" applyFont="1" applyFill="1" applyBorder="1" applyAlignment="1">
      <alignment vertical="center" wrapText="1"/>
    </xf>
    <xf numFmtId="0" fontId="4" fillId="0" borderId="19" xfId="0" applyFont="1" applyFill="1" applyBorder="1" applyAlignment="1">
      <alignment horizontal="center"/>
    </xf>
    <xf numFmtId="0" fontId="4" fillId="0" borderId="20" xfId="0" applyFont="1" applyFill="1" applyBorder="1" applyAlignment="1">
      <alignment horizontal="center"/>
    </xf>
    <xf numFmtId="44" fontId="0" fillId="0" borderId="9" xfId="0" applyNumberFormat="1" applyFont="1" applyFill="1" applyBorder="1" applyAlignment="1">
      <alignment horizontal="center"/>
    </xf>
    <xf numFmtId="3" fontId="8" fillId="0" borderId="9" xfId="0" applyNumberFormat="1" applyFont="1" applyFill="1" applyBorder="1" applyAlignment="1">
      <alignment horizontal="center"/>
    </xf>
    <xf numFmtId="0" fontId="4" fillId="0" borderId="40" xfId="0" applyFont="1" applyFill="1" applyBorder="1" applyAlignment="1">
      <alignment horizontal="left" vertical="center" wrapText="1"/>
    </xf>
    <xf numFmtId="0" fontId="4" fillId="0" borderId="37" xfId="0" applyFont="1" applyFill="1" applyBorder="1" applyAlignment="1">
      <alignment horizontal="left" vertical="center" wrapText="1"/>
    </xf>
    <xf numFmtId="44" fontId="0" fillId="0" borderId="15" xfId="2" applyFont="1" applyFill="1" applyBorder="1"/>
    <xf numFmtId="0" fontId="10" fillId="0" borderId="0" xfId="0" applyFont="1" applyFill="1" applyBorder="1" applyAlignment="1">
      <alignment horizontal="center" vertical="center" wrapText="1"/>
    </xf>
    <xf numFmtId="44" fontId="8" fillId="0" borderId="0" xfId="2" applyFont="1" applyFill="1"/>
    <xf numFmtId="3" fontId="8" fillId="0" borderId="14" xfId="0" applyNumberFormat="1" applyFont="1" applyFill="1" applyBorder="1" applyAlignment="1"/>
    <xf numFmtId="44" fontId="0" fillId="0" borderId="0" xfId="0" applyNumberFormat="1" applyFill="1" applyBorder="1"/>
    <xf numFmtId="0" fontId="8" fillId="0" borderId="34" xfId="0" applyFont="1" applyBorder="1" applyAlignment="1">
      <alignment horizontal="left" wrapText="1"/>
    </xf>
    <xf numFmtId="0" fontId="8" fillId="0" borderId="39" xfId="0" applyFont="1" applyBorder="1" applyAlignment="1">
      <alignment horizontal="left" wrapText="1"/>
    </xf>
    <xf numFmtId="0" fontId="8" fillId="0" borderId="35" xfId="0" applyFont="1" applyBorder="1" applyAlignment="1">
      <alignment horizontal="left" wrapText="1"/>
    </xf>
    <xf numFmtId="0" fontId="8" fillId="0" borderId="14" xfId="0" applyFont="1" applyFill="1" applyBorder="1" applyAlignment="1"/>
    <xf numFmtId="0" fontId="22" fillId="0" borderId="32" xfId="0" applyFont="1" applyFill="1" applyBorder="1" applyAlignment="1">
      <alignment horizontal="left" vertical="top" wrapText="1"/>
    </xf>
    <xf numFmtId="0" fontId="22" fillId="0" borderId="21" xfId="0" applyFont="1" applyFill="1" applyBorder="1" applyAlignment="1">
      <alignment horizontal="left" vertical="top" wrapText="1"/>
    </xf>
    <xf numFmtId="0" fontId="22" fillId="0" borderId="22" xfId="0" applyFont="1" applyFill="1" applyBorder="1" applyAlignment="1">
      <alignment horizontal="left" vertical="top" wrapText="1"/>
    </xf>
    <xf numFmtId="0" fontId="22" fillId="0" borderId="19" xfId="0" applyFont="1" applyFill="1" applyBorder="1" applyAlignment="1">
      <alignment vertical="top" wrapText="1"/>
    </xf>
    <xf numFmtId="0" fontId="22" fillId="0" borderId="1" xfId="0" applyFont="1" applyFill="1" applyBorder="1" applyAlignment="1">
      <alignment vertical="top" wrapText="1"/>
    </xf>
    <xf numFmtId="0" fontId="22" fillId="0" borderId="20" xfId="0" applyFont="1" applyFill="1" applyBorder="1" applyAlignment="1">
      <alignment vertical="top" wrapText="1"/>
    </xf>
    <xf numFmtId="0" fontId="22" fillId="0" borderId="34" xfId="0" applyFont="1" applyFill="1" applyBorder="1" applyAlignment="1">
      <alignment horizontal="left" wrapText="1"/>
    </xf>
    <xf numFmtId="0" fontId="22" fillId="0" borderId="39" xfId="0" applyFont="1" applyFill="1" applyBorder="1" applyAlignment="1">
      <alignment horizontal="left" wrapText="1"/>
    </xf>
    <xf numFmtId="0" fontId="22" fillId="0" borderId="35" xfId="0" applyFont="1" applyFill="1" applyBorder="1" applyAlignment="1">
      <alignment horizontal="left" wrapText="1"/>
    </xf>
    <xf numFmtId="0" fontId="30" fillId="0" borderId="0" xfId="0" applyFont="1" applyFill="1" applyBorder="1" applyAlignment="1">
      <alignment horizontal="center" vertical="center"/>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165" fontId="8" fillId="0" borderId="8" xfId="1" applyNumberFormat="1" applyFont="1" applyFill="1" applyBorder="1" applyAlignment="1">
      <alignment horizontal="center"/>
    </xf>
    <xf numFmtId="0" fontId="8" fillId="0" borderId="19" xfId="0" applyFont="1" applyFill="1" applyBorder="1" applyAlignment="1">
      <alignment horizontal="center"/>
    </xf>
    <xf numFmtId="9" fontId="0" fillId="0" borderId="0" xfId="3" applyFont="1" applyBorder="1" applyAlignment="1"/>
    <xf numFmtId="44" fontId="0" fillId="0" borderId="0" xfId="0" applyNumberFormat="1" applyFill="1" applyBorder="1" applyAlignment="1"/>
    <xf numFmtId="37" fontId="0" fillId="0" borderId="10" xfId="2" applyNumberFormat="1" applyFont="1" applyFill="1" applyBorder="1"/>
    <xf numFmtId="39" fontId="0" fillId="0" borderId="13" xfId="2" applyNumberFormat="1" applyFont="1" applyFill="1" applyBorder="1" applyAlignment="1">
      <alignment horizontal="center" wrapText="1"/>
    </xf>
    <xf numFmtId="0" fontId="0" fillId="0" borderId="0" xfId="0" applyFont="1" applyFill="1" applyBorder="1" applyAlignment="1">
      <alignment wrapText="1"/>
    </xf>
    <xf numFmtId="0" fontId="4" fillId="0" borderId="10" xfId="0" applyFont="1" applyBorder="1" applyAlignment="1">
      <alignment horizontal="center" vertical="center" wrapText="1"/>
    </xf>
    <xf numFmtId="0" fontId="4" fillId="0" borderId="13" xfId="0" applyFont="1" applyBorder="1" applyAlignment="1">
      <alignment horizontal="center" vertical="center" wrapText="1"/>
    </xf>
    <xf numFmtId="0" fontId="22" fillId="0" borderId="9" xfId="0" applyFont="1" applyFill="1" applyBorder="1" applyAlignment="1">
      <alignment wrapText="1"/>
    </xf>
    <xf numFmtId="0" fontId="8" fillId="0" borderId="10" xfId="0" applyFont="1" applyFill="1" applyBorder="1" applyAlignment="1">
      <alignment horizontal="center"/>
    </xf>
    <xf numFmtId="0" fontId="8" fillId="0" borderId="14" xfId="0" applyFont="1" applyFill="1" applyBorder="1" applyAlignment="1">
      <alignment horizontal="center"/>
    </xf>
    <xf numFmtId="0" fontId="8" fillId="0" borderId="13" xfId="0" applyFont="1" applyFill="1" applyBorder="1" applyAlignment="1">
      <alignment horizontal="center"/>
    </xf>
    <xf numFmtId="165" fontId="8" fillId="0" borderId="14" xfId="1" applyNumberFormat="1" applyFont="1" applyFill="1" applyBorder="1" applyAlignment="1">
      <alignment horizontal="center"/>
    </xf>
    <xf numFmtId="0" fontId="8" fillId="0" borderId="14" xfId="0" applyNumberFormat="1" applyFont="1" applyFill="1" applyBorder="1" applyAlignment="1">
      <alignment horizontal="center" vertical="center"/>
    </xf>
    <xf numFmtId="0" fontId="8" fillId="0" borderId="13" xfId="0" applyNumberFormat="1" applyFont="1" applyFill="1" applyBorder="1" applyAlignment="1">
      <alignment horizontal="center" vertical="center"/>
    </xf>
    <xf numFmtId="166" fontId="8" fillId="0" borderId="10" xfId="0" applyNumberFormat="1" applyFont="1" applyFill="1" applyBorder="1" applyAlignment="1">
      <alignment horizontal="center" vertical="center"/>
    </xf>
    <xf numFmtId="166" fontId="8" fillId="0" borderId="1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4" fillId="0" borderId="8" xfId="0" applyFont="1" applyBorder="1" applyAlignment="1">
      <alignment horizontal="center"/>
    </xf>
    <xf numFmtId="0" fontId="4" fillId="0" borderId="20" xfId="0" applyFont="1" applyBorder="1" applyAlignment="1">
      <alignment horizontal="center" wrapText="1"/>
    </xf>
    <xf numFmtId="0" fontId="0" fillId="0" borderId="19" xfId="0" applyNumberFormat="1" applyFont="1" applyBorder="1" applyAlignment="1">
      <alignment horizontal="center"/>
    </xf>
    <xf numFmtId="0" fontId="0" fillId="0" borderId="20" xfId="0" applyFont="1" applyBorder="1" applyAlignment="1">
      <alignment horizontal="center"/>
    </xf>
    <xf numFmtId="44" fontId="0" fillId="0" borderId="20" xfId="2" applyFont="1" applyBorder="1" applyAlignment="1">
      <alignment horizontal="center"/>
    </xf>
    <xf numFmtId="44" fontId="0" fillId="0" borderId="8" xfId="2" applyFont="1" applyBorder="1" applyAlignment="1">
      <alignment horizontal="center"/>
    </xf>
    <xf numFmtId="0" fontId="0" fillId="0" borderId="10" xfId="0" applyBorder="1" applyAlignment="1">
      <alignment horizontal="center"/>
    </xf>
    <xf numFmtId="0" fontId="0" fillId="0" borderId="10" xfId="0" applyNumberFormat="1" applyFont="1" applyBorder="1"/>
    <xf numFmtId="0" fontId="0" fillId="0" borderId="13" xfId="0" applyFont="1" applyBorder="1" applyAlignment="1">
      <alignment horizontal="left" wrapText="1"/>
    </xf>
    <xf numFmtId="44" fontId="0" fillId="0" borderId="13" xfId="2" applyFont="1" applyBorder="1" applyAlignment="1">
      <alignment horizontal="left" wrapText="1"/>
    </xf>
    <xf numFmtId="0" fontId="0" fillId="0" borderId="10" xfId="0" applyFont="1" applyBorder="1" applyAlignment="1">
      <alignment horizontal="center"/>
    </xf>
    <xf numFmtId="44" fontId="0" fillId="0" borderId="10" xfId="2" applyFont="1" applyBorder="1"/>
    <xf numFmtId="44" fontId="0" fillId="0" borderId="10" xfId="0" applyNumberFormat="1" applyFont="1" applyBorder="1"/>
    <xf numFmtId="0" fontId="0" fillId="0" borderId="9" xfId="0" applyNumberFormat="1" applyFont="1" applyBorder="1"/>
    <xf numFmtId="0" fontId="8" fillId="0" borderId="32" xfId="0" applyFont="1" applyBorder="1" applyAlignment="1">
      <alignment horizontal="right" wrapText="1"/>
    </xf>
    <xf numFmtId="0" fontId="8" fillId="0" borderId="21" xfId="0" applyFont="1" applyBorder="1" applyAlignment="1">
      <alignment horizontal="right" wrapText="1"/>
    </xf>
    <xf numFmtId="0" fontId="8" fillId="0" borderId="22" xfId="0" applyFont="1" applyBorder="1" applyAlignment="1">
      <alignment horizontal="right" wrapText="1"/>
    </xf>
    <xf numFmtId="0" fontId="0" fillId="0" borderId="19" xfId="0" applyFont="1" applyBorder="1" applyAlignment="1">
      <alignment horizontal="right"/>
    </xf>
    <xf numFmtId="0" fontId="0" fillId="0" borderId="1" xfId="0" applyFont="1" applyBorder="1" applyAlignment="1">
      <alignment horizontal="right"/>
    </xf>
    <xf numFmtId="0" fontId="0" fillId="0" borderId="20" xfId="0" applyFont="1" applyBorder="1" applyAlignment="1">
      <alignment horizontal="right"/>
    </xf>
    <xf numFmtId="0" fontId="31" fillId="0" borderId="9" xfId="0" applyFont="1" applyBorder="1" applyAlignment="1">
      <alignment horizontal="center"/>
    </xf>
    <xf numFmtId="0" fontId="31" fillId="0" borderId="10" xfId="0" applyFont="1" applyBorder="1" applyAlignment="1">
      <alignment horizontal="left"/>
    </xf>
    <xf numFmtId="0" fontId="31" fillId="0" borderId="14" xfId="0" applyFont="1" applyBorder="1" applyAlignment="1">
      <alignment horizontal="left"/>
    </xf>
    <xf numFmtId="0" fontId="31" fillId="0" borderId="13" xfId="0" applyFont="1" applyBorder="1" applyAlignment="1">
      <alignment horizontal="left"/>
    </xf>
    <xf numFmtId="0" fontId="31" fillId="0" borderId="10" xfId="0" applyFont="1" applyBorder="1" applyAlignment="1">
      <alignment horizontal="left"/>
    </xf>
    <xf numFmtId="0" fontId="31" fillId="0" borderId="14" xfId="0" applyFont="1" applyBorder="1" applyAlignment="1">
      <alignment horizontal="left"/>
    </xf>
    <xf numFmtId="0" fontId="4" fillId="0" borderId="14" xfId="0" applyFont="1" applyBorder="1" applyAlignment="1">
      <alignment horizontal="right"/>
    </xf>
    <xf numFmtId="0" fontId="8" fillId="0" borderId="33" xfId="0" applyFont="1" applyFill="1" applyBorder="1" applyAlignment="1">
      <alignment horizontal="left" vertical="top" wrapText="1"/>
    </xf>
    <xf numFmtId="0" fontId="8" fillId="0" borderId="32" xfId="0" applyFont="1" applyFill="1" applyBorder="1" applyAlignment="1">
      <alignment horizontal="right" wrapText="1"/>
    </xf>
    <xf numFmtId="0" fontId="8" fillId="0" borderId="21" xfId="0" applyFont="1" applyFill="1" applyBorder="1" applyAlignment="1">
      <alignment horizontal="right" wrapText="1"/>
    </xf>
    <xf numFmtId="0" fontId="8" fillId="0" borderId="22" xfId="0" applyFont="1" applyFill="1" applyBorder="1" applyAlignment="1">
      <alignment horizontal="right" wrapText="1"/>
    </xf>
    <xf numFmtId="0" fontId="31" fillId="0" borderId="10" xfId="0" applyFont="1" applyFill="1" applyBorder="1" applyAlignment="1">
      <alignment horizontal="left"/>
    </xf>
    <xf numFmtId="0" fontId="31" fillId="0" borderId="14" xfId="0" applyFont="1" applyFill="1" applyBorder="1" applyAlignment="1">
      <alignment horizontal="left"/>
    </xf>
    <xf numFmtId="0" fontId="31" fillId="0" borderId="13" xfId="0" applyFont="1" applyFill="1" applyBorder="1" applyAlignment="1">
      <alignment horizontal="left"/>
    </xf>
    <xf numFmtId="0" fontId="31" fillId="0" borderId="13" xfId="0" applyFont="1" applyBorder="1" applyAlignment="1">
      <alignment horizontal="left"/>
    </xf>
    <xf numFmtId="0" fontId="4" fillId="0" borderId="10" xfId="0" applyFont="1" applyBorder="1" applyAlignment="1">
      <alignment vertical="center"/>
    </xf>
    <xf numFmtId="0" fontId="4" fillId="0" borderId="13" xfId="0" applyFont="1" applyBorder="1" applyAlignment="1">
      <alignment vertical="center"/>
    </xf>
    <xf numFmtId="3" fontId="0" fillId="0" borderId="14" xfId="0" applyNumberFormat="1" applyFont="1" applyFill="1" applyBorder="1" applyAlignment="1">
      <alignment horizontal="right" vertical="center"/>
    </xf>
    <xf numFmtId="0" fontId="0" fillId="0" borderId="10" xfId="0" applyNumberFormat="1" applyFont="1" applyFill="1" applyBorder="1" applyAlignment="1">
      <alignment horizontal="center"/>
    </xf>
    <xf numFmtId="3" fontId="0" fillId="0" borderId="9" xfId="0" applyNumberFormat="1" applyFont="1" applyFill="1" applyBorder="1" applyAlignment="1"/>
    <xf numFmtId="44" fontId="0" fillId="0" borderId="9" xfId="2" applyFont="1" applyFill="1" applyBorder="1" applyAlignment="1">
      <alignment horizontal="left" wrapText="1"/>
    </xf>
    <xf numFmtId="0" fontId="4" fillId="0" borderId="9" xfId="0" applyFont="1" applyBorder="1" applyAlignment="1">
      <alignment horizontal="right"/>
    </xf>
    <xf numFmtId="0" fontId="4"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13" xfId="0" applyFont="1" applyFill="1" applyBorder="1" applyAlignment="1">
      <alignment horizontal="center" vertical="center" wrapText="1"/>
    </xf>
    <xf numFmtId="3" fontId="0" fillId="0" borderId="14" xfId="0" applyNumberFormat="1" applyFont="1" applyFill="1" applyBorder="1" applyAlignment="1">
      <alignment horizontal="right" vertical="center" wrapText="1"/>
    </xf>
    <xf numFmtId="3" fontId="0" fillId="0" borderId="10" xfId="0" applyNumberFormat="1" applyFont="1" applyFill="1" applyBorder="1" applyAlignment="1"/>
    <xf numFmtId="0" fontId="0" fillId="0" borderId="9" xfId="0" applyFont="1" applyFill="1" applyBorder="1" applyAlignment="1">
      <alignment horizontal="center" vertical="center" wrapText="1"/>
    </xf>
    <xf numFmtId="0" fontId="0" fillId="0" borderId="21" xfId="0" applyFont="1" applyBorder="1" applyAlignment="1">
      <alignment horizontal="center" vertical="center"/>
    </xf>
    <xf numFmtId="0" fontId="4" fillId="0" borderId="21" xfId="0" applyFont="1" applyBorder="1" applyAlignment="1">
      <alignment horizontal="right"/>
    </xf>
    <xf numFmtId="0" fontId="31" fillId="0" borderId="14" xfId="0" applyFont="1" applyBorder="1" applyAlignment="1"/>
    <xf numFmtId="0" fontId="0" fillId="0" borderId="10" xfId="0" applyFont="1" applyBorder="1" applyAlignment="1"/>
    <xf numFmtId="0" fontId="0" fillId="0" borderId="34"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35" xfId="0" applyFont="1" applyFill="1" applyBorder="1" applyAlignment="1">
      <alignment horizontal="left" vertical="center" wrapText="1"/>
    </xf>
    <xf numFmtId="0" fontId="4" fillId="0" borderId="2" xfId="0" applyFont="1" applyBorder="1" applyAlignment="1">
      <alignment horizontal="center" vertical="center" wrapText="1"/>
    </xf>
    <xf numFmtId="0" fontId="4" fillId="0" borderId="37" xfId="0" applyFont="1" applyBorder="1" applyAlignment="1">
      <alignment horizontal="center" vertical="center" wrapText="1"/>
    </xf>
    <xf numFmtId="7" fontId="0" fillId="0" borderId="9" xfId="2" applyNumberFormat="1" applyFont="1" applyFill="1" applyBorder="1" applyAlignment="1">
      <alignment horizontal="right"/>
    </xf>
    <xf numFmtId="7" fontId="0" fillId="0" borderId="20" xfId="2" applyNumberFormat="1" applyFont="1" applyBorder="1" applyAlignment="1">
      <alignment horizontal="right"/>
    </xf>
    <xf numFmtId="7" fontId="0" fillId="0" borderId="8" xfId="2" applyNumberFormat="1" applyFont="1" applyBorder="1" applyAlignment="1">
      <alignment horizontal="center"/>
    </xf>
    <xf numFmtId="7" fontId="0" fillId="0" borderId="0" xfId="2" applyNumberFormat="1" applyFont="1" applyFill="1" applyAlignment="1">
      <alignment horizontal="right"/>
    </xf>
    <xf numFmtId="7" fontId="0" fillId="0" borderId="13" xfId="2" applyNumberFormat="1" applyFont="1" applyBorder="1" applyAlignment="1">
      <alignment horizontal="right" wrapText="1"/>
    </xf>
    <xf numFmtId="7" fontId="0" fillId="0" borderId="9" xfId="2" applyNumberFormat="1" applyFont="1" applyBorder="1" applyAlignment="1">
      <alignment horizontal="right"/>
    </xf>
    <xf numFmtId="7" fontId="0" fillId="0" borderId="10" xfId="2" applyNumberFormat="1" applyFont="1" applyBorder="1"/>
    <xf numFmtId="7" fontId="0" fillId="0" borderId="10" xfId="0" applyNumberFormat="1" applyFont="1" applyBorder="1"/>
    <xf numFmtId="7" fontId="0" fillId="0" borderId="0" xfId="2" applyNumberFormat="1" applyFont="1" applyAlignment="1">
      <alignment horizontal="right"/>
    </xf>
    <xf numFmtId="7" fontId="0" fillId="0" borderId="9" xfId="2" applyNumberFormat="1" applyFont="1" applyBorder="1" applyAlignment="1">
      <alignment horizontal="center"/>
    </xf>
    <xf numFmtId="0" fontId="31" fillId="0" borderId="9" xfId="0" applyFont="1" applyBorder="1" applyAlignment="1"/>
    <xf numFmtId="7" fontId="0" fillId="0" borderId="9" xfId="2" applyNumberFormat="1" applyFont="1" applyBorder="1"/>
    <xf numFmtId="0" fontId="31" fillId="0" borderId="9" xfId="0" applyFont="1" applyBorder="1" applyAlignment="1">
      <alignment horizontal="left"/>
    </xf>
    <xf numFmtId="7" fontId="0" fillId="0" borderId="20" xfId="2" applyNumberFormat="1" applyFont="1" applyFill="1" applyBorder="1" applyAlignment="1">
      <alignment horizontal="center" vertical="center"/>
    </xf>
    <xf numFmtId="7" fontId="0" fillId="0" borderId="8" xfId="2" applyNumberFormat="1" applyFont="1" applyFill="1" applyBorder="1" applyAlignment="1">
      <alignment horizontal="center"/>
    </xf>
    <xf numFmtId="7" fontId="0" fillId="0" borderId="13" xfId="2" applyNumberFormat="1" applyFont="1" applyFill="1" applyBorder="1" applyAlignment="1">
      <alignment horizontal="center" vertical="center" wrapText="1"/>
    </xf>
    <xf numFmtId="7" fontId="0" fillId="0" borderId="10" xfId="2" applyNumberFormat="1" applyFont="1" applyFill="1" applyBorder="1"/>
    <xf numFmtId="7" fontId="0" fillId="0" borderId="10" xfId="0" applyNumberFormat="1" applyFont="1" applyFill="1" applyBorder="1"/>
    <xf numFmtId="7" fontId="0" fillId="0" borderId="9" xfId="2" applyNumberFormat="1" applyFont="1" applyFill="1" applyBorder="1" applyAlignment="1">
      <alignment horizontal="center"/>
    </xf>
    <xf numFmtId="7" fontId="8" fillId="0" borderId="9" xfId="2" applyNumberFormat="1" applyFont="1" applyFill="1" applyBorder="1" applyAlignment="1">
      <alignment horizontal="right" vertical="center"/>
    </xf>
    <xf numFmtId="165" fontId="8" fillId="0" borderId="9" xfId="1" applyNumberFormat="1" applyFont="1" applyFill="1" applyBorder="1" applyAlignment="1">
      <alignment horizontal="center" vertical="center"/>
    </xf>
    <xf numFmtId="165" fontId="8" fillId="0" borderId="0" xfId="1" applyNumberFormat="1" applyFont="1" applyFill="1" applyAlignment="1">
      <alignment vertical="center"/>
    </xf>
    <xf numFmtId="166" fontId="8" fillId="0" borderId="10" xfId="0" applyNumberFormat="1" applyFont="1" applyFill="1" applyBorder="1" applyAlignment="1">
      <alignment vertical="center"/>
    </xf>
    <xf numFmtId="166" fontId="8" fillId="0" borderId="14" xfId="0" applyNumberFormat="1" applyFont="1" applyFill="1" applyBorder="1" applyAlignment="1">
      <alignment horizontal="center" vertical="center"/>
    </xf>
    <xf numFmtId="165" fontId="8" fillId="0" borderId="9" xfId="1" applyNumberFormat="1" applyFont="1" applyFill="1" applyBorder="1" applyAlignment="1">
      <alignment horizontal="right" vertical="center"/>
    </xf>
    <xf numFmtId="165" fontId="8" fillId="0" borderId="0" xfId="1" applyNumberFormat="1" applyFont="1" applyFill="1" applyAlignment="1">
      <alignment horizontal="right" vertical="center"/>
    </xf>
    <xf numFmtId="0" fontId="8" fillId="0" borderId="34" xfId="0" applyFont="1" applyFill="1" applyBorder="1" applyAlignment="1">
      <alignment horizontal="left" wrapText="1"/>
    </xf>
    <xf numFmtId="0" fontId="8" fillId="0" borderId="39" xfId="0" applyFont="1" applyFill="1" applyBorder="1" applyAlignment="1">
      <alignment horizontal="left" wrapText="1"/>
    </xf>
    <xf numFmtId="0" fontId="8" fillId="0" borderId="35" xfId="0" applyFont="1" applyFill="1" applyBorder="1" applyAlignment="1">
      <alignment horizontal="left" wrapText="1"/>
    </xf>
    <xf numFmtId="166" fontId="8" fillId="0" borderId="13" xfId="0" applyNumberFormat="1" applyFont="1" applyFill="1" applyBorder="1" applyAlignment="1">
      <alignment horizontal="center" vertical="center" wrapText="1"/>
    </xf>
    <xf numFmtId="0" fontId="0" fillId="0" borderId="0" xfId="0" applyBorder="1" applyAlignment="1">
      <alignment vertical="center" wrapText="1"/>
    </xf>
    <xf numFmtId="8" fontId="8" fillId="0" borderId="9" xfId="0" applyNumberFormat="1" applyFont="1" applyFill="1" applyBorder="1" applyAlignment="1">
      <alignment horizontal="right" vertical="center" wrapText="1"/>
    </xf>
    <xf numFmtId="166" fontId="8" fillId="0" borderId="9" xfId="0" applyNumberFormat="1" applyFont="1" applyBorder="1" applyAlignment="1">
      <alignment horizontal="center" vertical="center" wrapText="1"/>
    </xf>
    <xf numFmtId="8" fontId="8" fillId="0" borderId="9" xfId="0" applyNumberFormat="1" applyFont="1" applyBorder="1" applyAlignment="1">
      <alignment horizontal="right" vertical="center" wrapText="1"/>
    </xf>
    <xf numFmtId="0" fontId="8" fillId="0" borderId="9" xfId="0" applyNumberFormat="1" applyFont="1" applyBorder="1" applyAlignment="1">
      <alignment horizontal="center" vertical="center" wrapText="1"/>
    </xf>
    <xf numFmtId="0" fontId="0" fillId="0" borderId="10" xfId="0" applyFont="1" applyBorder="1" applyAlignment="1">
      <alignment horizontal="right" wrapText="1"/>
    </xf>
    <xf numFmtId="0" fontId="0" fillId="0" borderId="14" xfId="0" applyFont="1" applyBorder="1" applyAlignment="1">
      <alignment horizontal="right" wrapText="1"/>
    </xf>
    <xf numFmtId="0" fontId="0" fillId="0" borderId="13" xfId="0" applyFont="1" applyBorder="1" applyAlignment="1">
      <alignment horizontal="right" wrapText="1"/>
    </xf>
    <xf numFmtId="4" fontId="8" fillId="0" borderId="9" xfId="0" applyNumberFormat="1" applyFont="1" applyFill="1" applyBorder="1" applyAlignment="1">
      <alignment horizontal="right" vertical="center" wrapText="1"/>
    </xf>
    <xf numFmtId="0" fontId="8" fillId="0" borderId="32"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0" applyFont="1" applyBorder="1" applyAlignment="1">
      <alignment horizontal="right" vertical="center"/>
    </xf>
    <xf numFmtId="0" fontId="8" fillId="0" borderId="13" xfId="0" applyFont="1" applyBorder="1" applyAlignment="1">
      <alignment horizontal="right" vertical="center"/>
    </xf>
    <xf numFmtId="0" fontId="8" fillId="0" borderId="36" xfId="0" applyFont="1" applyBorder="1" applyAlignment="1">
      <alignment horizontal="left" vertical="top" wrapText="1"/>
    </xf>
    <xf numFmtId="0" fontId="8" fillId="0" borderId="31" xfId="0" applyFont="1" applyBorder="1" applyAlignment="1">
      <alignment horizontal="left" vertical="top" wrapText="1"/>
    </xf>
    <xf numFmtId="0" fontId="8" fillId="0" borderId="30" xfId="0" applyFont="1" applyBorder="1" applyAlignment="1">
      <alignment horizontal="left" vertical="top" wrapText="1"/>
    </xf>
    <xf numFmtId="0" fontId="8" fillId="0" borderId="19" xfId="0" applyFont="1" applyBorder="1" applyAlignment="1">
      <alignment horizontal="left" vertical="top" wrapText="1"/>
    </xf>
    <xf numFmtId="0" fontId="8" fillId="0" borderId="1" xfId="0" applyFont="1" applyBorder="1" applyAlignment="1">
      <alignment horizontal="left" vertical="top" wrapText="1"/>
    </xf>
    <xf numFmtId="0" fontId="8" fillId="0" borderId="20" xfId="0" applyFont="1" applyBorder="1" applyAlignment="1">
      <alignment horizontal="left" vertical="top" wrapText="1"/>
    </xf>
    <xf numFmtId="0" fontId="8" fillId="0" borderId="33" xfId="0" applyFont="1" applyBorder="1" applyAlignment="1">
      <alignment horizontal="left" vertical="top" wrapText="1"/>
    </xf>
    <xf numFmtId="0" fontId="8" fillId="0" borderId="0" xfId="0" applyFont="1" applyBorder="1" applyAlignment="1">
      <alignment horizontal="left" vertical="top" wrapText="1"/>
    </xf>
    <xf numFmtId="0" fontId="8" fillId="0" borderId="28" xfId="0" applyFont="1" applyBorder="1" applyAlignment="1">
      <alignment horizontal="left" vertical="top" wrapText="1"/>
    </xf>
    <xf numFmtId="0" fontId="10" fillId="0" borderId="33" xfId="0" applyFont="1" applyBorder="1" applyAlignment="1">
      <alignment horizontal="center"/>
    </xf>
    <xf numFmtId="0" fontId="10" fillId="0" borderId="28" xfId="0" applyFont="1" applyBorder="1" applyAlignment="1">
      <alignment horizontal="center"/>
    </xf>
    <xf numFmtId="0" fontId="8" fillId="0" borderId="32" xfId="0" applyNumberFormat="1" applyFont="1" applyFill="1" applyBorder="1" applyAlignment="1">
      <alignment horizontal="center"/>
    </xf>
    <xf numFmtId="2" fontId="8" fillId="0" borderId="9" xfId="0" applyNumberFormat="1" applyFont="1" applyFill="1" applyBorder="1" applyAlignment="1">
      <alignment horizontal="center" wrapText="1"/>
    </xf>
    <xf numFmtId="166" fontId="8" fillId="0" borderId="19" xfId="0" applyNumberFormat="1" applyFont="1" applyFill="1" applyBorder="1" applyAlignment="1">
      <alignment horizontal="center"/>
    </xf>
    <xf numFmtId="165" fontId="10" fillId="0" borderId="9" xfId="0" applyNumberFormat="1" applyFont="1" applyFill="1" applyBorder="1" applyAlignment="1">
      <alignment horizontal="right"/>
    </xf>
    <xf numFmtId="165" fontId="8" fillId="0" borderId="9" xfId="1" applyNumberFormat="1" applyFont="1" applyBorder="1" applyAlignment="1">
      <alignment horizontal="center"/>
    </xf>
    <xf numFmtId="0" fontId="22" fillId="0" borderId="9" xfId="0" applyFont="1" applyBorder="1" applyAlignment="1">
      <alignment horizontal="left"/>
    </xf>
    <xf numFmtId="0" fontId="22" fillId="0" borderId="34" xfId="0" applyFont="1" applyBorder="1" applyAlignment="1">
      <alignment horizontal="left" wrapText="1"/>
    </xf>
    <xf numFmtId="0" fontId="22" fillId="0" borderId="39" xfId="0" applyFont="1" applyBorder="1" applyAlignment="1">
      <alignment horizontal="left" wrapText="1"/>
    </xf>
    <xf numFmtId="0" fontId="22" fillId="0" borderId="35" xfId="0" applyFont="1" applyBorder="1" applyAlignment="1">
      <alignment horizontal="left" wrapText="1"/>
    </xf>
    <xf numFmtId="9" fontId="0" fillId="0" borderId="0" xfId="3" applyFont="1" applyFill="1" applyBorder="1"/>
    <xf numFmtId="166" fontId="8" fillId="0" borderId="10" xfId="0" applyNumberFormat="1" applyFont="1" applyFill="1" applyBorder="1" applyAlignment="1">
      <alignment horizontal="center" vertical="center" wrapText="1"/>
    </xf>
    <xf numFmtId="0" fontId="4" fillId="0" borderId="10" xfId="0" applyFont="1" applyFill="1" applyBorder="1" applyAlignment="1">
      <alignment horizontal="center" vertical="center" wrapText="1"/>
    </xf>
    <xf numFmtId="0" fontId="0" fillId="0" borderId="10" xfId="0" applyFont="1" applyFill="1" applyBorder="1" applyAlignment="1">
      <alignment horizontal="center" wrapText="1"/>
    </xf>
    <xf numFmtId="0" fontId="0" fillId="0" borderId="14" xfId="0" applyFont="1" applyFill="1" applyBorder="1" applyAlignment="1">
      <alignment horizontal="center" wrapText="1"/>
    </xf>
    <xf numFmtId="0" fontId="0" fillId="0" borderId="13" xfId="0" applyFont="1" applyFill="1" applyBorder="1" applyAlignment="1">
      <alignment horizontal="center" wrapText="1"/>
    </xf>
    <xf numFmtId="0" fontId="0" fillId="0" borderId="10" xfId="0" applyFont="1" applyFill="1" applyBorder="1" applyAlignment="1">
      <alignment horizontal="left" wrapText="1"/>
    </xf>
    <xf numFmtId="0" fontId="0" fillId="0" borderId="14" xfId="0" applyFont="1" applyFill="1" applyBorder="1" applyAlignment="1">
      <alignment horizontal="left" wrapText="1"/>
    </xf>
    <xf numFmtId="0" fontId="4" fillId="0" borderId="9" xfId="0" applyNumberFormat="1" applyFont="1" applyFill="1" applyBorder="1" applyAlignment="1">
      <alignment horizontal="right"/>
    </xf>
    <xf numFmtId="0" fontId="0" fillId="0" borderId="9" xfId="0" applyFill="1" applyBorder="1" applyAlignment="1">
      <alignment vertical="center"/>
    </xf>
    <xf numFmtId="44" fontId="1" fillId="0" borderId="9" xfId="2" applyNumberFormat="1" applyFont="1" applyFill="1" applyBorder="1" applyAlignment="1">
      <alignment vertical="center"/>
    </xf>
    <xf numFmtId="44" fontId="1" fillId="0" borderId="9" xfId="2" applyNumberFormat="1" applyFont="1" applyFill="1" applyBorder="1"/>
    <xf numFmtId="44" fontId="8" fillId="0" borderId="9" xfId="2" applyFont="1" applyFill="1" applyBorder="1" applyAlignment="1">
      <alignment horizontal="center" vertical="center" wrapText="1"/>
    </xf>
    <xf numFmtId="165" fontId="8" fillId="0" borderId="13" xfId="1" applyNumberFormat="1" applyFont="1" applyFill="1" applyBorder="1" applyAlignment="1">
      <alignment horizontal="right" vertical="center" wrapText="1"/>
    </xf>
    <xf numFmtId="166" fontId="8" fillId="0" borderId="9" xfId="0" applyNumberFormat="1" applyFont="1" applyFill="1" applyBorder="1" applyAlignment="1">
      <alignment horizontal="center" vertical="center" wrapText="1"/>
    </xf>
    <xf numFmtId="0" fontId="4" fillId="0" borderId="25" xfId="0" applyFont="1" applyFill="1" applyBorder="1" applyAlignment="1">
      <alignment horizontal="center" vertical="center"/>
    </xf>
    <xf numFmtId="0" fontId="4" fillId="0" borderId="25" xfId="0" applyFont="1" applyFill="1" applyBorder="1" applyAlignment="1">
      <alignment horizontal="center" vertical="center" wrapText="1"/>
    </xf>
    <xf numFmtId="0" fontId="0" fillId="0" borderId="37" xfId="0" applyFont="1" applyFill="1" applyBorder="1" applyAlignment="1">
      <alignment vertical="center"/>
    </xf>
    <xf numFmtId="3" fontId="0" fillId="0" borderId="37" xfId="0" applyNumberFormat="1" applyFont="1" applyFill="1" applyBorder="1" applyAlignment="1">
      <alignment horizontal="center" vertical="center"/>
    </xf>
    <xf numFmtId="0" fontId="0" fillId="0" borderId="0" xfId="0" applyFill="1" applyBorder="1" applyAlignment="1">
      <alignment vertical="top" wrapText="1"/>
    </xf>
    <xf numFmtId="44" fontId="0" fillId="0" borderId="13" xfId="2" applyFont="1" applyFill="1" applyBorder="1" applyAlignment="1">
      <alignment horizontal="center"/>
    </xf>
    <xf numFmtId="0" fontId="0" fillId="0" borderId="9" xfId="2" applyNumberFormat="1" applyFont="1" applyFill="1" applyBorder="1"/>
    <xf numFmtId="0" fontId="8" fillId="0" borderId="0" xfId="0" applyFont="1" applyFill="1" applyBorder="1" applyAlignment="1">
      <alignment vertical="center" wrapText="1"/>
    </xf>
    <xf numFmtId="0" fontId="4" fillId="0" borderId="0" xfId="0" applyFont="1" applyFill="1" applyBorder="1" applyAlignment="1">
      <alignment horizontal="center" vertical="center" wrapText="1"/>
    </xf>
    <xf numFmtId="8" fontId="8" fillId="0" borderId="10" xfId="0" applyNumberFormat="1" applyFont="1" applyFill="1" applyBorder="1" applyAlignment="1">
      <alignment horizontal="right" vertical="center" wrapText="1"/>
    </xf>
    <xf numFmtId="0" fontId="4" fillId="0" borderId="9" xfId="0" applyFont="1" applyBorder="1" applyAlignment="1">
      <alignment horizontal="center" vertical="center"/>
    </xf>
    <xf numFmtId="0" fontId="0" fillId="0" borderId="9" xfId="0" applyFont="1" applyFill="1" applyBorder="1" applyAlignment="1">
      <alignment vertical="center"/>
    </xf>
    <xf numFmtId="0" fontId="4" fillId="0" borderId="23" xfId="0" applyFont="1" applyFill="1" applyBorder="1" applyAlignment="1">
      <alignment horizontal="center"/>
    </xf>
    <xf numFmtId="0" fontId="4" fillId="0" borderId="9" xfId="0" applyNumberFormat="1" applyFont="1" applyFill="1" applyBorder="1" applyAlignment="1">
      <alignment horizontal="center" wrapText="1"/>
    </xf>
    <xf numFmtId="179" fontId="0" fillId="0" borderId="10" xfId="2" applyNumberFormat="1" applyFont="1" applyFill="1" applyBorder="1" applyAlignment="1">
      <alignment horizontal="center"/>
    </xf>
    <xf numFmtId="7" fontId="0" fillId="0" borderId="10" xfId="2" applyNumberFormat="1" applyFont="1" applyFill="1" applyBorder="1" applyAlignment="1">
      <alignment horizontal="center"/>
    </xf>
    <xf numFmtId="0" fontId="8" fillId="0" borderId="34" xfId="0" applyFont="1" applyBorder="1" applyAlignment="1">
      <alignment horizontal="left" vertical="center" wrapText="1"/>
    </xf>
    <xf numFmtId="0" fontId="8" fillId="0" borderId="39" xfId="0" applyFont="1" applyBorder="1" applyAlignment="1">
      <alignment horizontal="left" vertical="center" wrapText="1"/>
    </xf>
    <xf numFmtId="0" fontId="8" fillId="0" borderId="35" xfId="0" applyFont="1" applyBorder="1" applyAlignment="1">
      <alignment horizontal="left" vertical="center" wrapText="1"/>
    </xf>
    <xf numFmtId="0" fontId="22" fillId="0" borderId="10" xfId="0" applyFont="1" applyFill="1" applyBorder="1" applyAlignment="1">
      <alignment horizontal="left" vertical="top" wrapText="1"/>
    </xf>
    <xf numFmtId="0" fontId="22" fillId="0" borderId="14" xfId="0" applyFont="1" applyFill="1" applyBorder="1" applyAlignment="1">
      <alignment horizontal="left" vertical="top" wrapText="1"/>
    </xf>
    <xf numFmtId="0" fontId="22" fillId="0" borderId="13" xfId="0" applyFont="1" applyFill="1" applyBorder="1" applyAlignment="1">
      <alignment horizontal="left" vertical="top" wrapText="1"/>
    </xf>
    <xf numFmtId="165" fontId="8" fillId="0" borderId="9" xfId="0" applyNumberFormat="1" applyFont="1" applyBorder="1" applyAlignment="1">
      <alignment vertical="center"/>
    </xf>
    <xf numFmtId="44" fontId="8" fillId="0" borderId="9" xfId="2" applyNumberFormat="1" applyFont="1" applyBorder="1" applyAlignment="1">
      <alignment vertical="center"/>
    </xf>
    <xf numFmtId="165" fontId="8" fillId="0" borderId="10" xfId="0" applyNumberFormat="1" applyFont="1" applyBorder="1" applyAlignment="1">
      <alignment horizontal="center"/>
    </xf>
    <xf numFmtId="165" fontId="8" fillId="0" borderId="14" xfId="0" applyNumberFormat="1" applyFont="1" applyBorder="1" applyAlignment="1">
      <alignment horizontal="center"/>
    </xf>
    <xf numFmtId="165" fontId="8" fillId="0" borderId="13" xfId="0" applyNumberFormat="1" applyFont="1" applyBorder="1" applyAlignment="1">
      <alignment horizontal="center"/>
    </xf>
    <xf numFmtId="44" fontId="8" fillId="0" borderId="9" xfId="2" applyNumberFormat="1" applyFont="1" applyBorder="1"/>
    <xf numFmtId="44" fontId="8" fillId="0" borderId="9" xfId="0" applyNumberFormat="1" applyFont="1" applyFill="1" applyBorder="1"/>
    <xf numFmtId="0" fontId="8" fillId="0" borderId="10" xfId="0" applyFont="1" applyFill="1" applyBorder="1" applyAlignment="1">
      <alignment horizontal="center" wrapText="1"/>
    </xf>
    <xf numFmtId="0" fontId="8" fillId="0" borderId="14" xfId="0" applyFont="1" applyFill="1" applyBorder="1" applyAlignment="1">
      <alignment horizontal="center" wrapText="1"/>
    </xf>
    <xf numFmtId="0" fontId="8" fillId="0" borderId="13" xfId="0" applyFont="1" applyFill="1" applyBorder="1" applyAlignment="1">
      <alignment horizontal="center" wrapText="1"/>
    </xf>
    <xf numFmtId="44" fontId="0" fillId="0" borderId="9" xfId="2" applyFont="1" applyFill="1" applyBorder="1" applyAlignment="1"/>
    <xf numFmtId="17" fontId="8" fillId="0" borderId="9" xfId="0" quotePrefix="1" applyNumberFormat="1" applyFont="1" applyBorder="1" applyAlignment="1">
      <alignment horizontal="center"/>
    </xf>
    <xf numFmtId="165" fontId="10" fillId="0" borderId="9" xfId="0" applyNumberFormat="1" applyFont="1" applyBorder="1" applyAlignment="1">
      <alignment horizontal="right"/>
    </xf>
    <xf numFmtId="17" fontId="8" fillId="0" borderId="15" xfId="0" quotePrefix="1" applyNumberFormat="1" applyFont="1" applyBorder="1" applyAlignment="1">
      <alignment horizontal="center"/>
    </xf>
    <xf numFmtId="0" fontId="8" fillId="0" borderId="21" xfId="0" applyFont="1" applyFill="1" applyBorder="1" applyAlignment="1">
      <alignment horizontal="left"/>
    </xf>
    <xf numFmtId="0" fontId="8" fillId="0" borderId="22" xfId="0" applyFont="1" applyFill="1" applyBorder="1" applyAlignment="1">
      <alignment horizontal="left"/>
    </xf>
    <xf numFmtId="44" fontId="8" fillId="0" borderId="0" xfId="2" applyFont="1" applyFill="1" applyBorder="1" applyAlignment="1">
      <alignment horizontal="center"/>
    </xf>
    <xf numFmtId="0" fontId="8" fillId="0" borderId="21" xfId="0" applyNumberFormat="1" applyFont="1" applyFill="1" applyBorder="1" applyAlignment="1">
      <alignment horizontal="center"/>
    </xf>
    <xf numFmtId="0" fontId="8" fillId="0" borderId="15" xfId="0" applyFont="1" applyFill="1" applyBorder="1" applyAlignment="1">
      <alignment horizontal="center"/>
    </xf>
    <xf numFmtId="0" fontId="22" fillId="0" borderId="10" xfId="0" applyFont="1" applyFill="1" applyBorder="1" applyAlignment="1">
      <alignment horizontal="left"/>
    </xf>
    <xf numFmtId="0" fontId="22" fillId="0" borderId="14" xfId="0" applyFont="1" applyFill="1" applyBorder="1" applyAlignment="1">
      <alignment horizontal="left"/>
    </xf>
    <xf numFmtId="0" fontId="22" fillId="0" borderId="13" xfId="0" applyFont="1" applyFill="1" applyBorder="1" applyAlignment="1">
      <alignment horizontal="left"/>
    </xf>
    <xf numFmtId="0" fontId="8" fillId="0" borderId="0" xfId="0" applyFont="1" applyFill="1" applyBorder="1" applyAlignment="1">
      <alignment wrapText="1"/>
    </xf>
    <xf numFmtId="0" fontId="10"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3" xfId="0" applyFont="1" applyFill="1" applyBorder="1" applyAlignment="1">
      <alignment horizontal="center" vertical="center"/>
    </xf>
    <xf numFmtId="0" fontId="10" fillId="0" borderId="33" xfId="0" applyFont="1" applyFill="1" applyBorder="1" applyAlignment="1">
      <alignment horizontal="center" wrapText="1"/>
    </xf>
    <xf numFmtId="0" fontId="0" fillId="0" borderId="0" xfId="0" applyFont="1" applyFill="1" applyAlignment="1"/>
    <xf numFmtId="44" fontId="8" fillId="0" borderId="9" xfId="2" applyFont="1" applyFill="1" applyBorder="1" applyAlignment="1">
      <alignment vertical="center" wrapText="1"/>
    </xf>
    <xf numFmtId="44" fontId="8" fillId="0" borderId="9" xfId="0" applyNumberFormat="1" applyFont="1" applyFill="1" applyBorder="1" applyAlignment="1">
      <alignment vertical="center" wrapText="1"/>
    </xf>
    <xf numFmtId="166" fontId="8" fillId="0" borderId="9" xfId="0" applyNumberFormat="1" applyFont="1" applyFill="1" applyBorder="1" applyAlignment="1">
      <alignment horizontal="center" vertical="center"/>
    </xf>
    <xf numFmtId="0" fontId="8" fillId="0" borderId="9" xfId="0" applyFont="1" applyFill="1" applyBorder="1" applyAlignment="1">
      <alignment horizontal="right" vertical="center" wrapText="1"/>
    </xf>
    <xf numFmtId="165" fontId="8" fillId="0" borderId="14" xfId="0" applyNumberFormat="1" applyFont="1" applyFill="1" applyBorder="1" applyAlignment="1">
      <alignment horizontal="center" vertical="center"/>
    </xf>
    <xf numFmtId="165" fontId="8" fillId="0" borderId="13" xfId="0" applyNumberFormat="1" applyFont="1" applyFill="1" applyBorder="1" applyAlignment="1">
      <alignment horizontal="center" vertical="center"/>
    </xf>
    <xf numFmtId="0" fontId="8" fillId="0" borderId="19" xfId="0" applyFont="1" applyFill="1" applyBorder="1" applyAlignment="1">
      <alignment horizontal="center" vertical="center"/>
    </xf>
    <xf numFmtId="0" fontId="8" fillId="0" borderId="20" xfId="0" applyFont="1" applyFill="1" applyBorder="1" applyAlignment="1">
      <alignment vertical="center"/>
    </xf>
    <xf numFmtId="0" fontId="8" fillId="0" borderId="1" xfId="0" applyFont="1" applyFill="1" applyBorder="1" applyAlignment="1">
      <alignment vertical="center"/>
    </xf>
    <xf numFmtId="17" fontId="8" fillId="0" borderId="9" xfId="0" quotePrefix="1" applyNumberFormat="1" applyFont="1" applyFill="1" applyBorder="1" applyAlignment="1">
      <alignment horizontal="center"/>
    </xf>
    <xf numFmtId="0" fontId="8" fillId="0" borderId="9" xfId="0" applyNumberFormat="1" applyFont="1" applyBorder="1" applyAlignment="1">
      <alignment horizontal="center"/>
    </xf>
    <xf numFmtId="165" fontId="8" fillId="0" borderId="34" xfId="0" applyNumberFormat="1" applyFont="1" applyFill="1" applyBorder="1" applyAlignment="1">
      <alignment horizontal="center"/>
    </xf>
    <xf numFmtId="165" fontId="8" fillId="0" borderId="39" xfId="0" applyNumberFormat="1" applyFont="1" applyFill="1" applyBorder="1" applyAlignment="1">
      <alignment horizontal="center"/>
    </xf>
    <xf numFmtId="165" fontId="8" fillId="0" borderId="35" xfId="0" applyNumberFormat="1" applyFont="1" applyFill="1" applyBorder="1" applyAlignment="1">
      <alignment horizontal="center"/>
    </xf>
    <xf numFmtId="0" fontId="0" fillId="0" borderId="33" xfId="0" applyFont="1" applyFill="1" applyBorder="1" applyAlignment="1">
      <alignment wrapText="1"/>
    </xf>
    <xf numFmtId="17" fontId="0" fillId="0" borderId="9" xfId="0" quotePrefix="1" applyNumberFormat="1" applyFont="1" applyFill="1" applyBorder="1" applyAlignment="1">
      <alignment horizontal="center"/>
    </xf>
    <xf numFmtId="49" fontId="0" fillId="0" borderId="9" xfId="0" applyNumberFormat="1" applyFont="1" applyFill="1" applyBorder="1" applyAlignment="1">
      <alignment horizontal="center"/>
    </xf>
    <xf numFmtId="0" fontId="8" fillId="0" borderId="9" xfId="0" quotePrefix="1" applyFont="1" applyFill="1" applyBorder="1" applyAlignment="1">
      <alignment horizontal="center"/>
    </xf>
    <xf numFmtId="16" fontId="8" fillId="0" borderId="9" xfId="0" quotePrefix="1" applyNumberFormat="1" applyFont="1" applyBorder="1" applyAlignment="1">
      <alignment horizontal="center"/>
    </xf>
    <xf numFmtId="0" fontId="0" fillId="0" borderId="33" xfId="0" applyFont="1" applyFill="1" applyBorder="1" applyAlignment="1">
      <alignment vertical="center" wrapText="1"/>
    </xf>
    <xf numFmtId="0" fontId="8" fillId="0" borderId="9" xfId="0" quotePrefix="1" applyFont="1" applyBorder="1" applyAlignment="1">
      <alignment horizontal="center"/>
    </xf>
    <xf numFmtId="0" fontId="0" fillId="0" borderId="0" xfId="0" applyFont="1" applyFill="1" applyAlignment="1">
      <alignment vertical="center" wrapText="1"/>
    </xf>
    <xf numFmtId="2" fontId="0" fillId="0" borderId="9" xfId="2" applyNumberFormat="1" applyFont="1" applyFill="1" applyBorder="1" applyAlignment="1">
      <alignment vertical="center"/>
    </xf>
    <xf numFmtId="0" fontId="8" fillId="0" borderId="0" xfId="0" applyFont="1" applyFill="1"/>
    <xf numFmtId="0" fontId="0" fillId="0" borderId="0" xfId="0" applyFont="1" applyFill="1" applyAlignment="1">
      <alignment horizontal="center" vertical="center"/>
    </xf>
    <xf numFmtId="0" fontId="8" fillId="0" borderId="0" xfId="0" applyFont="1" applyFill="1" applyAlignment="1">
      <alignment horizontal="center"/>
    </xf>
    <xf numFmtId="0" fontId="8" fillId="0" borderId="33" xfId="0" applyFont="1" applyFill="1" applyBorder="1" applyAlignment="1">
      <alignment horizontal="left" wrapText="1"/>
    </xf>
    <xf numFmtId="0" fontId="8" fillId="0" borderId="0" xfId="0" applyFont="1" applyFill="1" applyAlignment="1">
      <alignment horizontal="left" wrapText="1"/>
    </xf>
    <xf numFmtId="0" fontId="8" fillId="0" borderId="33" xfId="0" applyFont="1" applyFill="1" applyBorder="1" applyAlignment="1">
      <alignment horizontal="left"/>
    </xf>
    <xf numFmtId="16" fontId="0" fillId="0" borderId="9" xfId="0" quotePrefix="1" applyNumberFormat="1" applyFont="1" applyFill="1" applyBorder="1" applyAlignment="1">
      <alignment horizontal="center"/>
    </xf>
    <xf numFmtId="0" fontId="0" fillId="0" borderId="9" xfId="0" quotePrefix="1" applyFont="1" applyFill="1" applyBorder="1" applyAlignment="1">
      <alignment horizontal="center"/>
    </xf>
    <xf numFmtId="0" fontId="8" fillId="0" borderId="0" xfId="0" applyFont="1" applyFill="1" applyAlignment="1">
      <alignment horizontal="left"/>
    </xf>
    <xf numFmtId="43" fontId="0" fillId="0" borderId="19" xfId="0" applyNumberFormat="1" applyFont="1" applyFill="1" applyBorder="1" applyAlignment="1">
      <alignment horizontal="center"/>
    </xf>
    <xf numFmtId="0" fontId="0" fillId="0" borderId="33" xfId="0" applyFill="1" applyBorder="1" applyAlignment="1">
      <alignment horizontal="left" vertical="center" wrapText="1"/>
    </xf>
    <xf numFmtId="0" fontId="0" fillId="0" borderId="0" xfId="0" applyBorder="1" applyAlignment="1">
      <alignment vertical="center"/>
    </xf>
    <xf numFmtId="0" fontId="0" fillId="0" borderId="0" xfId="0" applyFill="1" applyAlignment="1">
      <alignment horizontal="left" vertical="center" wrapText="1"/>
    </xf>
    <xf numFmtId="0" fontId="4" fillId="0" borderId="0" xfId="0" applyFont="1" applyFill="1" applyAlignment="1">
      <alignment horizontal="center" wrapText="1"/>
    </xf>
    <xf numFmtId="0" fontId="3" fillId="0" borderId="10" xfId="0" applyFont="1" applyFill="1" applyBorder="1" applyAlignment="1">
      <alignment horizontal="left" vertical="top" wrapText="1"/>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8" fillId="0" borderId="0" xfId="0" applyFont="1" applyFill="1" applyBorder="1" applyAlignment="1">
      <alignment horizontal="left" vertical="top" wrapText="1"/>
    </xf>
    <xf numFmtId="0" fontId="0" fillId="0" borderId="0" xfId="0" applyBorder="1" applyAlignment="1">
      <alignment horizontal="center" vertical="center"/>
    </xf>
    <xf numFmtId="0" fontId="4" fillId="0" borderId="0" xfId="0" applyFont="1" applyBorder="1" applyAlignment="1">
      <alignment horizontal="right" vertical="center"/>
    </xf>
    <xf numFmtId="0" fontId="4" fillId="0" borderId="10" xfId="0" applyFont="1" applyFill="1" applyBorder="1" applyAlignment="1">
      <alignment vertical="center" wrapText="1"/>
    </xf>
    <xf numFmtId="0" fontId="4" fillId="0" borderId="13" xfId="0" applyFont="1" applyFill="1" applyBorder="1" applyAlignment="1">
      <alignment vertical="center" wrapText="1"/>
    </xf>
    <xf numFmtId="0" fontId="4" fillId="0" borderId="10" xfId="0" applyFont="1" applyFill="1" applyBorder="1" applyAlignment="1">
      <alignment horizontal="left" wrapText="1"/>
    </xf>
    <xf numFmtId="0" fontId="4" fillId="0" borderId="14" xfId="0" applyFont="1" applyFill="1" applyBorder="1" applyAlignment="1">
      <alignment horizontal="left" wrapText="1"/>
    </xf>
    <xf numFmtId="0" fontId="4" fillId="0" borderId="13" xfId="0" applyFont="1" applyFill="1" applyBorder="1" applyAlignment="1">
      <alignment horizontal="left" wrapText="1"/>
    </xf>
    <xf numFmtId="0" fontId="4" fillId="0" borderId="8" xfId="0" applyFont="1" applyFill="1" applyBorder="1" applyAlignment="1">
      <alignment horizontal="center" wrapText="1"/>
    </xf>
    <xf numFmtId="0" fontId="8" fillId="0" borderId="0" xfId="0" applyFont="1" applyFill="1" applyBorder="1" applyAlignment="1">
      <alignment horizontal="left" wrapText="1"/>
    </xf>
    <xf numFmtId="44" fontId="0" fillId="0" borderId="19" xfId="2" applyFont="1" applyFill="1" applyBorder="1" applyAlignment="1">
      <alignment horizontal="center"/>
    </xf>
    <xf numFmtId="0" fontId="31" fillId="0" borderId="9" xfId="0" applyFont="1" applyFill="1" applyBorder="1" applyAlignment="1">
      <alignment horizontal="left"/>
    </xf>
    <xf numFmtId="0" fontId="8" fillId="0" borderId="33" xfId="0" applyFont="1" applyFill="1" applyBorder="1" applyAlignment="1">
      <alignment wrapText="1"/>
    </xf>
    <xf numFmtId="44" fontId="0" fillId="0" borderId="19" xfId="0" applyNumberFormat="1" applyFont="1" applyFill="1" applyBorder="1" applyAlignment="1">
      <alignment horizontal="center"/>
    </xf>
    <xf numFmtId="0" fontId="0" fillId="0" borderId="19" xfId="0" applyFont="1" applyFill="1" applyBorder="1" applyAlignment="1">
      <alignment horizontal="right"/>
    </xf>
    <xf numFmtId="0" fontId="8" fillId="0" borderId="14" xfId="0" applyFont="1" applyFill="1" applyBorder="1" applyAlignment="1">
      <alignment horizontal="right" vertical="center"/>
    </xf>
    <xf numFmtId="3" fontId="8" fillId="0" borderId="14" xfId="0" applyNumberFormat="1" applyFont="1" applyFill="1" applyBorder="1" applyAlignment="1">
      <alignment horizontal="right" vertical="center"/>
    </xf>
    <xf numFmtId="2" fontId="0" fillId="0" borderId="19" xfId="0" applyNumberFormat="1" applyFont="1" applyFill="1" applyBorder="1" applyAlignment="1">
      <alignment horizontal="center"/>
    </xf>
    <xf numFmtId="165" fontId="10" fillId="0" borderId="10" xfId="0" applyNumberFormat="1" applyFont="1" applyFill="1" applyBorder="1" applyAlignment="1">
      <alignment horizontal="right"/>
    </xf>
    <xf numFmtId="165" fontId="10" fillId="0" borderId="14" xfId="0" applyNumberFormat="1" applyFont="1" applyFill="1" applyBorder="1" applyAlignment="1">
      <alignment horizontal="right"/>
    </xf>
    <xf numFmtId="165" fontId="10" fillId="0" borderId="13" xfId="0" applyNumberFormat="1" applyFont="1" applyFill="1" applyBorder="1" applyAlignment="1">
      <alignment horizontal="right"/>
    </xf>
    <xf numFmtId="0" fontId="4" fillId="0" borderId="10" xfId="0" applyFont="1" applyFill="1" applyBorder="1" applyAlignment="1">
      <alignment horizontal="left" vertical="center"/>
    </xf>
    <xf numFmtId="0" fontId="4" fillId="0" borderId="13" xfId="0" applyFont="1" applyFill="1" applyBorder="1" applyAlignment="1">
      <alignment horizontal="left" vertical="center"/>
    </xf>
    <xf numFmtId="0" fontId="33" fillId="0" borderId="10" xfId="0" applyNumberFormat="1" applyFont="1" applyFill="1" applyBorder="1" applyAlignment="1" applyProtection="1">
      <alignment horizontal="center" vertical="center"/>
    </xf>
    <xf numFmtId="0" fontId="33" fillId="0" borderId="13" xfId="0" applyNumberFormat="1" applyFont="1" applyFill="1" applyBorder="1" applyAlignment="1" applyProtection="1">
      <alignment horizontal="center" vertical="center"/>
    </xf>
    <xf numFmtId="0" fontId="33" fillId="0" borderId="10" xfId="0" applyNumberFormat="1" applyFont="1" applyFill="1" applyBorder="1" applyAlignment="1" applyProtection="1">
      <alignment horizontal="left" vertical="center"/>
    </xf>
    <xf numFmtId="0" fontId="33" fillId="0" borderId="13" xfId="0" applyNumberFormat="1" applyFont="1" applyFill="1" applyBorder="1" applyAlignment="1" applyProtection="1">
      <alignment horizontal="left" vertical="center"/>
    </xf>
    <xf numFmtId="0" fontId="34" fillId="0" borderId="10" xfId="0" applyNumberFormat="1" applyFont="1" applyFill="1" applyBorder="1" applyAlignment="1" applyProtection="1">
      <alignment horizontal="center" vertical="center"/>
    </xf>
    <xf numFmtId="0" fontId="34" fillId="0" borderId="13" xfId="0" applyNumberFormat="1" applyFont="1" applyFill="1" applyBorder="1" applyAlignment="1" applyProtection="1">
      <alignment horizontal="center" vertical="center"/>
    </xf>
    <xf numFmtId="165" fontId="34" fillId="0" borderId="14" xfId="0" applyNumberFormat="1" applyFont="1" applyFill="1" applyBorder="1" applyAlignment="1" applyProtection="1">
      <alignment vertical="center"/>
    </xf>
    <xf numFmtId="0" fontId="33" fillId="0" borderId="9" xfId="0" applyNumberFormat="1" applyFont="1" applyFill="1" applyBorder="1" applyAlignment="1" applyProtection="1">
      <alignment horizontal="center"/>
    </xf>
    <xf numFmtId="0" fontId="33" fillId="0" borderId="10" xfId="0" applyNumberFormat="1" applyFont="1" applyFill="1" applyBorder="1" applyAlignment="1" applyProtection="1">
      <alignment horizontal="left"/>
    </xf>
    <xf numFmtId="0" fontId="33" fillId="0" borderId="14" xfId="0" applyNumberFormat="1" applyFont="1" applyFill="1" applyBorder="1" applyAlignment="1" applyProtection="1">
      <alignment horizontal="left"/>
    </xf>
    <xf numFmtId="0" fontId="33" fillId="0" borderId="13" xfId="0" applyNumberFormat="1" applyFont="1" applyFill="1" applyBorder="1" applyAlignment="1" applyProtection="1">
      <alignment horizontal="left"/>
    </xf>
    <xf numFmtId="0" fontId="33" fillId="0" borderId="8" xfId="0" applyNumberFormat="1" applyFont="1" applyFill="1" applyBorder="1" applyAlignment="1" applyProtection="1">
      <alignment horizontal="center"/>
    </xf>
    <xf numFmtId="0" fontId="33" fillId="0" borderId="19" xfId="0" applyNumberFormat="1" applyFont="1" applyFill="1" applyBorder="1" applyAlignment="1" applyProtection="1">
      <alignment horizontal="center"/>
    </xf>
    <xf numFmtId="0" fontId="33" fillId="0" borderId="20" xfId="0" applyNumberFormat="1" applyFont="1" applyFill="1" applyBorder="1" applyAlignment="1" applyProtection="1">
      <alignment horizontal="center"/>
    </xf>
    <xf numFmtId="0" fontId="33" fillId="0" borderId="9" xfId="0" applyNumberFormat="1" applyFont="1" applyFill="1" applyBorder="1" applyAlignment="1" applyProtection="1">
      <alignment horizontal="center" wrapText="1"/>
    </xf>
    <xf numFmtId="16" fontId="34" fillId="0" borderId="9" xfId="0" quotePrefix="1" applyNumberFormat="1" applyFont="1" applyFill="1" applyBorder="1" applyAlignment="1" applyProtection="1">
      <alignment horizontal="center"/>
    </xf>
    <xf numFmtId="0" fontId="34" fillId="0" borderId="10" xfId="0" applyNumberFormat="1" applyFont="1" applyFill="1" applyBorder="1" applyAlignment="1" applyProtection="1">
      <alignment horizontal="left"/>
    </xf>
    <xf numFmtId="0" fontId="34" fillId="0" borderId="14" xfId="0" applyNumberFormat="1" applyFont="1" applyFill="1" applyBorder="1" applyAlignment="1" applyProtection="1">
      <alignment horizontal="left"/>
    </xf>
    <xf numFmtId="0" fontId="34" fillId="0" borderId="13" xfId="0" applyNumberFormat="1" applyFont="1" applyFill="1" applyBorder="1" applyAlignment="1" applyProtection="1">
      <alignment horizontal="left"/>
    </xf>
    <xf numFmtId="44" fontId="34" fillId="0" borderId="9" xfId="0" applyNumberFormat="1" applyFont="1" applyFill="1" applyBorder="1" applyAlignment="1" applyProtection="1">
      <alignment horizontal="center"/>
    </xf>
    <xf numFmtId="0" fontId="34" fillId="0" borderId="8" xfId="0" applyNumberFormat="1" applyFont="1" applyFill="1" applyBorder="1" applyAlignment="1" applyProtection="1">
      <alignment horizontal="center"/>
    </xf>
    <xf numFmtId="0" fontId="34" fillId="0" borderId="19" xfId="0" applyNumberFormat="1" applyFont="1" applyFill="1" applyBorder="1" applyAlignment="1" applyProtection="1">
      <alignment horizontal="center"/>
    </xf>
    <xf numFmtId="0" fontId="34" fillId="0" borderId="20" xfId="0" applyNumberFormat="1" applyFont="1" applyFill="1" applyBorder="1" applyAlignment="1" applyProtection="1">
      <alignment horizontal="center"/>
    </xf>
    <xf numFmtId="0" fontId="34" fillId="0" borderId="9" xfId="0" applyNumberFormat="1" applyFont="1" applyFill="1" applyBorder="1" applyAlignment="1" applyProtection="1">
      <alignment horizontal="center"/>
    </xf>
    <xf numFmtId="17" fontId="34" fillId="0" borderId="9" xfId="0" quotePrefix="1" applyNumberFormat="1" applyFont="1" applyFill="1" applyBorder="1" applyAlignment="1" applyProtection="1">
      <alignment horizontal="center"/>
    </xf>
    <xf numFmtId="166" fontId="34" fillId="0" borderId="9" xfId="0" applyNumberFormat="1" applyFont="1" applyFill="1" applyBorder="1" applyAlignment="1" applyProtection="1">
      <alignment horizontal="center"/>
    </xf>
    <xf numFmtId="0" fontId="34" fillId="0" borderId="10" xfId="0" applyNumberFormat="1" applyFont="1" applyFill="1" applyBorder="1" applyAlignment="1" applyProtection="1">
      <alignment horizontal="left" wrapText="1"/>
    </xf>
    <xf numFmtId="0" fontId="34" fillId="0" borderId="14" xfId="0" applyNumberFormat="1" applyFont="1" applyFill="1" applyBorder="1" applyAlignment="1" applyProtection="1">
      <alignment horizontal="left" wrapText="1"/>
    </xf>
    <xf numFmtId="0" fontId="34" fillId="0" borderId="13" xfId="0" applyNumberFormat="1" applyFont="1" applyFill="1" applyBorder="1" applyAlignment="1" applyProtection="1">
      <alignment horizontal="left" wrapText="1"/>
    </xf>
    <xf numFmtId="0" fontId="34" fillId="0" borderId="9" xfId="0" applyNumberFormat="1" applyFont="1" applyFill="1" applyBorder="1" applyAlignment="1" applyProtection="1"/>
    <xf numFmtId="44" fontId="34" fillId="0" borderId="9" xfId="0" applyNumberFormat="1" applyFont="1" applyFill="1" applyBorder="1" applyAlignment="1" applyProtection="1"/>
    <xf numFmtId="165" fontId="0" fillId="0" borderId="10" xfId="1" applyNumberFormat="1" applyFont="1" applyFill="1" applyBorder="1" applyAlignment="1">
      <alignment horizontal="center" vertical="center"/>
    </xf>
    <xf numFmtId="165" fontId="0" fillId="0" borderId="13" xfId="1" applyNumberFormat="1" applyFont="1" applyFill="1" applyBorder="1" applyAlignment="1">
      <alignment horizontal="center" vertical="center"/>
    </xf>
    <xf numFmtId="166" fontId="8" fillId="0" borderId="32" xfId="0" applyNumberFormat="1" applyFont="1" applyFill="1" applyBorder="1" applyAlignment="1">
      <alignment horizontal="center" vertical="center" wrapText="1"/>
    </xf>
    <xf numFmtId="166" fontId="8" fillId="0" borderId="22" xfId="0" applyNumberFormat="1" applyFont="1" applyFill="1" applyBorder="1" applyAlignment="1">
      <alignment horizontal="center" vertical="center" wrapText="1"/>
    </xf>
    <xf numFmtId="0" fontId="8" fillId="0" borderId="20" xfId="0" applyFont="1" applyFill="1" applyBorder="1" applyAlignment="1">
      <alignment horizontal="center" wrapText="1"/>
    </xf>
    <xf numFmtId="0" fontId="8" fillId="0" borderId="8" xfId="0" applyFont="1" applyFill="1" applyBorder="1" applyAlignment="1">
      <alignment horizontal="center" vertical="center" wrapText="1"/>
    </xf>
    <xf numFmtId="0" fontId="33" fillId="0" borderId="10" xfId="0" applyNumberFormat="1" applyFont="1" applyFill="1" applyBorder="1" applyAlignment="1" applyProtection="1">
      <alignment horizontal="left" vertical="center" wrapText="1"/>
    </xf>
    <xf numFmtId="0" fontId="33" fillId="0" borderId="13" xfId="0" applyNumberFormat="1" applyFont="1" applyFill="1" applyBorder="1" applyAlignment="1" applyProtection="1">
      <alignment horizontal="left" vertical="center" wrapText="1"/>
    </xf>
    <xf numFmtId="0" fontId="34" fillId="0" borderId="13" xfId="0" applyNumberFormat="1" applyFont="1" applyFill="1" applyBorder="1" applyAlignment="1" applyProtection="1">
      <alignment vertical="center"/>
    </xf>
    <xf numFmtId="165" fontId="34" fillId="0" borderId="14" xfId="0" applyNumberFormat="1" applyFont="1" applyFill="1" applyBorder="1" applyAlignment="1" applyProtection="1">
      <alignment horizontal="right" vertical="center"/>
    </xf>
    <xf numFmtId="0" fontId="33" fillId="0" borderId="9" xfId="0" applyNumberFormat="1" applyFont="1" applyFill="1" applyBorder="1" applyAlignment="1" applyProtection="1">
      <alignment horizontal="right"/>
    </xf>
    <xf numFmtId="0" fontId="8" fillId="0" borderId="33" xfId="0" applyFont="1" applyFill="1" applyBorder="1" applyAlignment="1">
      <alignment horizontal="left" vertical="center" wrapText="1"/>
    </xf>
    <xf numFmtId="0" fontId="8" fillId="0" borderId="33" xfId="0" applyFont="1" applyFill="1" applyBorder="1" applyAlignment="1">
      <alignment horizontal="center" vertical="center"/>
    </xf>
    <xf numFmtId="0" fontId="8" fillId="0" borderId="0" xfId="0" applyFont="1" applyFill="1" applyAlignment="1">
      <alignment horizontal="center" vertical="center"/>
    </xf>
    <xf numFmtId="0" fontId="8" fillId="0" borderId="33" xfId="0" applyFont="1" applyFill="1" applyBorder="1" applyAlignment="1">
      <alignment horizontal="center" vertical="center" wrapText="1"/>
    </xf>
    <xf numFmtId="165" fontId="8" fillId="0" borderId="14" xfId="1" applyNumberFormat="1" applyFont="1" applyFill="1" applyBorder="1" applyAlignment="1">
      <alignment horizontal="right" vertical="center"/>
    </xf>
    <xf numFmtId="0" fontId="0" fillId="0" borderId="27" xfId="0" applyFill="1" applyBorder="1" applyAlignment="1">
      <alignment horizontal="center" vertical="center" wrapText="1"/>
    </xf>
    <xf numFmtId="0" fontId="0" fillId="0" borderId="0" xfId="0" applyFill="1" applyAlignment="1">
      <alignment horizontal="center" vertical="center" wrapText="1"/>
    </xf>
    <xf numFmtId="0" fontId="8" fillId="0" borderId="33" xfId="0" applyFont="1" applyFill="1" applyBorder="1" applyAlignment="1">
      <alignment horizontal="center"/>
    </xf>
    <xf numFmtId="0" fontId="8" fillId="0" borderId="28" xfId="0" applyFont="1" applyFill="1" applyBorder="1" applyAlignment="1">
      <alignment horizontal="center"/>
    </xf>
    <xf numFmtId="0" fontId="8" fillId="0" borderId="33" xfId="0" applyFont="1" applyFill="1" applyBorder="1" applyAlignment="1">
      <alignment horizontal="center" wrapText="1"/>
    </xf>
    <xf numFmtId="0" fontId="8" fillId="0" borderId="0" xfId="0" applyFont="1" applyFill="1" applyAlignment="1">
      <alignment horizontal="center" wrapText="1"/>
    </xf>
    <xf numFmtId="0" fontId="8" fillId="0" borderId="0" xfId="0" applyFont="1" applyFill="1" applyAlignment="1">
      <alignment horizontal="center" vertical="center" wrapText="1"/>
    </xf>
    <xf numFmtId="44" fontId="8" fillId="0" borderId="33" xfId="2" applyFont="1" applyFill="1" applyBorder="1" applyAlignment="1">
      <alignment horizontal="center"/>
    </xf>
    <xf numFmtId="0" fontId="17" fillId="0" borderId="0" xfId="0" applyFont="1" applyFill="1" applyBorder="1" applyAlignment="1">
      <alignment horizontal="center"/>
    </xf>
    <xf numFmtId="165" fontId="8" fillId="0" borderId="14" xfId="1" applyNumberFormat="1" applyFont="1" applyFill="1" applyBorder="1" applyAlignment="1"/>
    <xf numFmtId="0" fontId="8" fillId="0" borderId="0" xfId="0" applyFont="1" applyFill="1" applyBorder="1" applyAlignment="1">
      <alignment horizontal="center" wrapText="1"/>
    </xf>
    <xf numFmtId="0" fontId="10" fillId="0" borderId="9" xfId="0" applyFont="1" applyFill="1" applyBorder="1" applyAlignment="1">
      <alignment horizontal="center" wrapText="1"/>
    </xf>
    <xf numFmtId="165" fontId="8" fillId="0" borderId="9" xfId="0" applyNumberFormat="1" applyFont="1" applyFill="1" applyBorder="1" applyAlignment="1">
      <alignment vertical="center" wrapText="1"/>
    </xf>
    <xf numFmtId="0" fontId="33" fillId="0" borderId="10" xfId="0" applyNumberFormat="1" applyFont="1" applyFill="1" applyBorder="1" applyAlignment="1" applyProtection="1">
      <alignment vertical="center"/>
    </xf>
    <xf numFmtId="0" fontId="33" fillId="0" borderId="13" xfId="0" applyNumberFormat="1" applyFont="1" applyFill="1" applyBorder="1" applyAlignment="1" applyProtection="1">
      <alignment vertical="center"/>
    </xf>
    <xf numFmtId="44" fontId="34" fillId="0" borderId="8" xfId="0" applyNumberFormat="1" applyFont="1" applyFill="1" applyBorder="1" applyAlignment="1" applyProtection="1">
      <alignment horizontal="center"/>
    </xf>
    <xf numFmtId="165" fontId="34" fillId="0" borderId="19" xfId="0" applyNumberFormat="1" applyFont="1" applyFill="1" applyBorder="1" applyAlignment="1" applyProtection="1"/>
    <xf numFmtId="0" fontId="34" fillId="0" borderId="10" xfId="0" applyNumberFormat="1" applyFont="1" applyFill="1" applyBorder="1" applyAlignment="1" applyProtection="1">
      <alignment horizontal="center"/>
    </xf>
    <xf numFmtId="0" fontId="34" fillId="0" borderId="13" xfId="0" applyNumberFormat="1" applyFont="1" applyFill="1" applyBorder="1" applyAlignment="1" applyProtection="1">
      <alignment horizontal="center"/>
    </xf>
    <xf numFmtId="16" fontId="34" fillId="0" borderId="9" xfId="0" applyNumberFormat="1" applyFont="1" applyFill="1" applyBorder="1" applyAlignment="1" applyProtection="1">
      <alignment horizontal="center"/>
    </xf>
    <xf numFmtId="0" fontId="8" fillId="0" borderId="0" xfId="0" applyFont="1" applyAlignment="1">
      <alignment horizontal="center"/>
    </xf>
    <xf numFmtId="44" fontId="8" fillId="0" borderId="9" xfId="2" applyFont="1" applyFill="1" applyBorder="1" applyAlignment="1">
      <alignment horizontal="left"/>
    </xf>
    <xf numFmtId="0" fontId="10" fillId="0" borderId="33" xfId="0" applyFont="1" applyFill="1" applyBorder="1" applyAlignment="1">
      <alignment horizontal="center"/>
    </xf>
    <xf numFmtId="0" fontId="10" fillId="0" borderId="28" xfId="0" applyFont="1" applyFill="1" applyBorder="1" applyAlignment="1">
      <alignment horizontal="center"/>
    </xf>
    <xf numFmtId="0" fontId="8" fillId="0" borderId="13" xfId="0" applyFont="1" applyFill="1" applyBorder="1"/>
    <xf numFmtId="9" fontId="8" fillId="0" borderId="10" xfId="3" applyFont="1" applyFill="1" applyBorder="1" applyAlignment="1">
      <alignment horizontal="center"/>
    </xf>
    <xf numFmtId="0" fontId="12" fillId="0" borderId="0" xfId="0" applyFont="1" applyFill="1"/>
    <xf numFmtId="165" fontId="8" fillId="0" borderId="10" xfId="1" applyNumberFormat="1" applyFont="1" applyFill="1" applyBorder="1" applyAlignment="1">
      <alignment horizontal="center"/>
    </xf>
    <xf numFmtId="0" fontId="10" fillId="0" borderId="19" xfId="0" applyFont="1" applyFill="1" applyBorder="1" applyAlignment="1">
      <alignment horizontal="center" wrapText="1"/>
    </xf>
    <xf numFmtId="0" fontId="10" fillId="0" borderId="20" xfId="0" applyFont="1" applyFill="1" applyBorder="1" applyAlignment="1">
      <alignment horizontal="center" wrapText="1"/>
    </xf>
    <xf numFmtId="0" fontId="12" fillId="0" borderId="0" xfId="0" applyFont="1" applyFill="1" applyAlignment="1">
      <alignment wrapText="1"/>
    </xf>
    <xf numFmtId="0" fontId="0" fillId="0" borderId="10" xfId="3" applyNumberFormat="1" applyFont="1" applyFill="1" applyBorder="1" applyAlignment="1">
      <alignment horizontal="center"/>
    </xf>
    <xf numFmtId="178" fontId="0" fillId="0" borderId="8" xfId="2" applyNumberFormat="1" applyFont="1" applyFill="1" applyBorder="1" applyAlignment="1">
      <alignment horizontal="center"/>
    </xf>
    <xf numFmtId="2" fontId="0" fillId="0" borderId="13" xfId="0" applyNumberFormat="1" applyFont="1" applyFill="1" applyBorder="1" applyAlignment="1">
      <alignment horizontal="center"/>
    </xf>
    <xf numFmtId="5" fontId="0" fillId="0" borderId="8" xfId="2" applyNumberFormat="1" applyFont="1" applyFill="1" applyBorder="1" applyAlignment="1">
      <alignment horizontal="center"/>
    </xf>
    <xf numFmtId="7" fontId="0" fillId="0" borderId="8" xfId="0" applyNumberFormat="1" applyFont="1" applyFill="1" applyBorder="1" applyAlignment="1">
      <alignment horizontal="center"/>
    </xf>
    <xf numFmtId="0" fontId="0" fillId="0" borderId="32" xfId="0" applyFont="1" applyFill="1" applyBorder="1" applyAlignment="1">
      <alignment horizontal="left" wrapText="1"/>
    </xf>
    <xf numFmtId="0" fontId="0" fillId="0" borderId="21" xfId="0" applyFont="1" applyFill="1" applyBorder="1" applyAlignment="1">
      <alignment horizontal="left" wrapText="1"/>
    </xf>
    <xf numFmtId="0" fontId="0" fillId="0" borderId="22" xfId="0" applyFont="1" applyFill="1" applyBorder="1" applyAlignment="1">
      <alignment horizontal="left" wrapText="1"/>
    </xf>
    <xf numFmtId="44" fontId="0" fillId="0" borderId="23" xfId="0" applyNumberFormat="1" applyFont="1" applyFill="1" applyBorder="1" applyAlignment="1">
      <alignment horizontal="center"/>
    </xf>
    <xf numFmtId="0" fontId="0" fillId="0" borderId="23" xfId="0" applyFont="1" applyFill="1" applyBorder="1" applyAlignment="1">
      <alignment horizontal="center"/>
    </xf>
    <xf numFmtId="44" fontId="0" fillId="0" borderId="23" xfId="2" applyFont="1" applyFill="1" applyBorder="1" applyAlignment="1">
      <alignment horizontal="center"/>
    </xf>
    <xf numFmtId="16" fontId="0" fillId="0" borderId="8" xfId="0" quotePrefix="1" applyNumberFormat="1" applyFont="1" applyFill="1" applyBorder="1" applyAlignment="1">
      <alignment horizontal="center"/>
    </xf>
    <xf numFmtId="0" fontId="35" fillId="0" borderId="19" xfId="0" applyFont="1" applyFill="1" applyBorder="1" applyAlignment="1">
      <alignment horizontal="left"/>
    </xf>
    <xf numFmtId="0" fontId="4" fillId="0" borderId="1" xfId="0" applyFont="1" applyFill="1" applyBorder="1" applyAlignment="1">
      <alignment horizontal="left"/>
    </xf>
    <xf numFmtId="0" fontId="4" fillId="0" borderId="20" xfId="0" applyFont="1" applyFill="1" applyBorder="1" applyAlignment="1">
      <alignment horizontal="left"/>
    </xf>
    <xf numFmtId="0" fontId="0" fillId="0" borderId="8" xfId="0" applyNumberFormat="1" applyFont="1" applyFill="1" applyBorder="1" applyAlignment="1">
      <alignment horizontal="center"/>
    </xf>
    <xf numFmtId="0" fontId="0" fillId="0" borderId="10" xfId="0" applyFont="1" applyFill="1" applyBorder="1" applyAlignment="1">
      <alignment horizontal="center" vertical="top" wrapText="1"/>
    </xf>
    <xf numFmtId="0" fontId="0" fillId="0" borderId="14" xfId="0" applyFont="1" applyFill="1" applyBorder="1" applyAlignment="1">
      <alignment horizontal="center" vertical="top" wrapText="1"/>
    </xf>
    <xf numFmtId="0" fontId="0" fillId="0" borderId="13" xfId="0" applyFont="1" applyFill="1" applyBorder="1" applyAlignment="1">
      <alignment horizontal="center" vertical="top" wrapText="1"/>
    </xf>
    <xf numFmtId="44" fontId="1" fillId="0" borderId="9" xfId="2" applyFont="1" applyFill="1" applyBorder="1" applyAlignment="1">
      <alignment vertical="center"/>
    </xf>
    <xf numFmtId="0" fontId="0" fillId="0" borderId="19" xfId="0" applyFont="1" applyFill="1" applyBorder="1" applyAlignment="1">
      <alignment horizontal="center" vertical="top" wrapText="1"/>
    </xf>
    <xf numFmtId="0" fontId="0" fillId="0" borderId="1" xfId="0" applyFont="1" applyFill="1" applyBorder="1" applyAlignment="1">
      <alignment horizontal="center" vertical="top" wrapText="1"/>
    </xf>
    <xf numFmtId="0" fontId="0" fillId="0" borderId="20" xfId="0" applyFont="1" applyFill="1" applyBorder="1" applyAlignment="1">
      <alignment horizontal="center" vertical="top" wrapText="1"/>
    </xf>
    <xf numFmtId="0" fontId="12" fillId="0" borderId="0" xfId="0" applyFont="1" applyFill="1" applyBorder="1" applyAlignment="1">
      <alignment wrapText="1"/>
    </xf>
    <xf numFmtId="165" fontId="8" fillId="0" borderId="14" xfId="1" applyNumberFormat="1" applyFont="1" applyBorder="1" applyAlignment="1"/>
    <xf numFmtId="0" fontId="8" fillId="0" borderId="10" xfId="0" applyFont="1" applyBorder="1" applyAlignment="1">
      <alignment horizontal="left" vertical="center" wrapText="1"/>
    </xf>
    <xf numFmtId="0" fontId="8" fillId="0" borderId="13" xfId="0" applyFont="1" applyBorder="1" applyAlignment="1">
      <alignment horizontal="left" vertical="center" wrapText="1"/>
    </xf>
    <xf numFmtId="0" fontId="8" fillId="0" borderId="8" xfId="0" applyNumberFormat="1" applyFont="1" applyBorder="1" applyAlignment="1">
      <alignment vertical="center" wrapText="1"/>
    </xf>
    <xf numFmtId="0" fontId="8" fillId="0" borderId="10" xfId="0" applyNumberFormat="1" applyFont="1" applyBorder="1" applyAlignment="1">
      <alignment horizontal="center" vertical="center" wrapText="1"/>
    </xf>
    <xf numFmtId="0" fontId="8" fillId="0" borderId="13" xfId="0" applyNumberFormat="1" applyFont="1" applyBorder="1" applyAlignment="1">
      <alignment horizontal="center" vertical="center" wrapText="1"/>
    </xf>
    <xf numFmtId="8" fontId="8" fillId="0" borderId="9" xfId="2" applyNumberFormat="1" applyFont="1" applyBorder="1" applyAlignment="1">
      <alignment horizontal="right" vertical="center" wrapText="1"/>
    </xf>
    <xf numFmtId="0" fontId="0" fillId="0" borderId="36" xfId="0" applyFont="1" applyBorder="1" applyAlignment="1">
      <alignment horizontal="left" vertical="top" wrapText="1"/>
    </xf>
    <xf numFmtId="0" fontId="0" fillId="0" borderId="31" xfId="0" applyFont="1" applyBorder="1" applyAlignment="1">
      <alignment horizontal="left" vertical="top" wrapText="1"/>
    </xf>
    <xf numFmtId="0" fontId="0" fillId="0" borderId="30" xfId="0" applyFont="1" applyBorder="1" applyAlignment="1">
      <alignment horizontal="left" vertical="top" wrapText="1"/>
    </xf>
    <xf numFmtId="0" fontId="0" fillId="0" borderId="0" xfId="0" applyFont="1" applyFill="1" applyAlignment="1">
      <alignment horizontal="center" wrapText="1"/>
    </xf>
    <xf numFmtId="44" fontId="8" fillId="0" borderId="14" xfId="2" applyFont="1" applyFill="1" applyBorder="1" applyAlignment="1">
      <alignment horizontal="left"/>
    </xf>
    <xf numFmtId="0" fontId="0" fillId="0" borderId="33" xfId="0" applyFont="1" applyFill="1" applyBorder="1" applyAlignment="1">
      <alignment horizontal="center" wrapText="1"/>
    </xf>
    <xf numFmtId="17" fontId="8" fillId="0" borderId="10" xfId="0" quotePrefix="1" applyNumberFormat="1" applyFont="1" applyFill="1" applyBorder="1" applyAlignment="1">
      <alignment horizontal="center"/>
    </xf>
    <xf numFmtId="0" fontId="0" fillId="0" borderId="0" xfId="0" applyFont="1" applyFill="1" applyBorder="1" applyAlignment="1">
      <alignment horizontal="center" wrapText="1"/>
    </xf>
    <xf numFmtId="0" fontId="8" fillId="0" borderId="34" xfId="0" applyFont="1" applyFill="1" applyBorder="1" applyAlignment="1">
      <alignment horizontal="left"/>
    </xf>
    <xf numFmtId="0" fontId="8" fillId="0" borderId="39" xfId="0" applyFont="1" applyFill="1" applyBorder="1" applyAlignment="1">
      <alignment horizontal="left"/>
    </xf>
    <xf numFmtId="0" fontId="8" fillId="0" borderId="35" xfId="0" applyFont="1" applyFill="1" applyBorder="1" applyAlignment="1">
      <alignment horizontal="left"/>
    </xf>
    <xf numFmtId="0" fontId="0" fillId="0" borderId="0" xfId="0" applyFont="1" applyAlignment="1">
      <alignment wrapText="1"/>
    </xf>
    <xf numFmtId="0" fontId="10" fillId="0" borderId="10" xfId="0" applyFont="1" applyBorder="1" applyAlignment="1">
      <alignment vertical="center"/>
    </xf>
    <xf numFmtId="0" fontId="10" fillId="0" borderId="32" xfId="0" applyFont="1" applyFill="1" applyBorder="1" applyAlignment="1">
      <alignment horizontal="center"/>
    </xf>
    <xf numFmtId="0" fontId="10" fillId="0" borderId="22" xfId="0" applyFont="1" applyFill="1" applyBorder="1" applyAlignment="1">
      <alignment horizontal="center"/>
    </xf>
    <xf numFmtId="44" fontId="8" fillId="0" borderId="14" xfId="2" applyFont="1" applyFill="1" applyBorder="1"/>
    <xf numFmtId="0" fontId="8" fillId="0" borderId="9" xfId="0" applyFont="1" applyBorder="1" applyAlignment="1">
      <alignment horizontal="left" vertical="center"/>
    </xf>
    <xf numFmtId="0" fontId="8" fillId="0" borderId="0" xfId="0" applyFont="1" applyFill="1" applyAlignment="1"/>
    <xf numFmtId="0" fontId="8" fillId="0" borderId="10" xfId="0" applyFont="1" applyBorder="1" applyAlignment="1">
      <alignment horizontal="left" vertical="center"/>
    </xf>
    <xf numFmtId="0" fontId="8" fillId="0" borderId="14" xfId="0" applyFont="1" applyBorder="1" applyAlignment="1">
      <alignment horizontal="left" vertical="center"/>
    </xf>
    <xf numFmtId="0" fontId="8" fillId="0" borderId="13" xfId="0" applyFont="1" applyBorder="1" applyAlignment="1">
      <alignment horizontal="left" vertical="center"/>
    </xf>
    <xf numFmtId="0" fontId="8" fillId="0" borderId="10" xfId="0" applyFont="1" applyBorder="1" applyAlignment="1">
      <alignment horizontal="left" vertical="center"/>
    </xf>
    <xf numFmtId="0" fontId="8" fillId="0" borderId="14" xfId="0" applyFont="1" applyBorder="1" applyAlignment="1">
      <alignment horizontal="left" vertical="center"/>
    </xf>
    <xf numFmtId="0" fontId="8" fillId="0" borderId="13" xfId="0" applyFont="1" applyBorder="1" applyAlignment="1">
      <alignment horizontal="left" vertical="center"/>
    </xf>
    <xf numFmtId="0" fontId="0" fillId="0" borderId="0" xfId="0" applyFont="1" applyFill="1" applyAlignment="1">
      <alignment horizontal="left"/>
    </xf>
    <xf numFmtId="0" fontId="4" fillId="0" borderId="10" xfId="0" applyFont="1" applyBorder="1" applyAlignment="1">
      <alignment horizontal="left" vertical="center"/>
    </xf>
    <xf numFmtId="0" fontId="4" fillId="0" borderId="13" xfId="0" applyFont="1" applyBorder="1" applyAlignment="1">
      <alignment horizontal="left" vertical="center"/>
    </xf>
    <xf numFmtId="3" fontId="0" fillId="0" borderId="8" xfId="0" applyNumberFormat="1" applyFont="1" applyFill="1" applyBorder="1" applyAlignment="1">
      <alignment horizontal="center"/>
    </xf>
    <xf numFmtId="0" fontId="0" fillId="0" borderId="14" xfId="0" applyFont="1" applyFill="1" applyBorder="1" applyAlignment="1">
      <alignment horizontal="center"/>
    </xf>
    <xf numFmtId="17" fontId="0" fillId="0" borderId="9" xfId="0" quotePrefix="1" applyNumberFormat="1" applyFont="1" applyBorder="1" applyAlignment="1">
      <alignment horizontal="center"/>
    </xf>
    <xf numFmtId="175" fontId="0" fillId="0" borderId="19" xfId="0" applyNumberFormat="1" applyFont="1" applyFill="1" applyBorder="1" applyAlignment="1">
      <alignment horizontal="center"/>
    </xf>
    <xf numFmtId="180" fontId="0" fillId="0" borderId="8" xfId="0" applyNumberFormat="1" applyFont="1" applyFill="1" applyBorder="1" applyAlignment="1">
      <alignment horizontal="center"/>
    </xf>
    <xf numFmtId="166" fontId="0" fillId="0" borderId="19" xfId="0" applyNumberFormat="1" applyFont="1" applyFill="1" applyBorder="1" applyAlignment="1">
      <alignment horizontal="center"/>
    </xf>
    <xf numFmtId="181" fontId="0" fillId="0" borderId="8" xfId="0" applyNumberFormat="1" applyFont="1" applyFill="1" applyBorder="1" applyAlignment="1">
      <alignment horizontal="center"/>
    </xf>
    <xf numFmtId="43" fontId="0" fillId="0" borderId="14" xfId="1" applyNumberFormat="1" applyFont="1" applyFill="1" applyBorder="1" applyAlignment="1"/>
    <xf numFmtId="180" fontId="0" fillId="0" borderId="9" xfId="0" applyNumberFormat="1" applyFont="1" applyFill="1" applyBorder="1" applyAlignment="1">
      <alignment horizontal="center"/>
    </xf>
    <xf numFmtId="0" fontId="0" fillId="0" borderId="0" xfId="0" applyFill="1" applyAlignment="1">
      <alignment horizontal="left" wrapText="1"/>
    </xf>
    <xf numFmtId="44" fontId="0" fillId="0" borderId="0" xfId="0" applyNumberFormat="1" applyFill="1" applyBorder="1" applyAlignment="1">
      <alignment horizontal="center"/>
    </xf>
    <xf numFmtId="0" fontId="8" fillId="0" borderId="10" xfId="0" quotePrefix="1" applyFont="1" applyFill="1" applyBorder="1" applyAlignment="1">
      <alignment horizontal="left"/>
    </xf>
    <xf numFmtId="0" fontId="8" fillId="0" borderId="19" xfId="0" applyFont="1" applyBorder="1" applyAlignment="1">
      <alignment horizontal="center"/>
    </xf>
    <xf numFmtId="0" fontId="8" fillId="0" borderId="20" xfId="0" applyFont="1" applyBorder="1" applyAlignment="1">
      <alignment horizontal="center"/>
    </xf>
    <xf numFmtId="0" fontId="8" fillId="0" borderId="13" xfId="0" applyFont="1" applyBorder="1" applyAlignment="1">
      <alignment horizontal="center"/>
    </xf>
    <xf numFmtId="180" fontId="8" fillId="0" borderId="8" xfId="0" applyNumberFormat="1" applyFont="1" applyBorder="1" applyAlignment="1">
      <alignment horizontal="center"/>
    </xf>
    <xf numFmtId="44" fontId="8" fillId="0" borderId="8" xfId="0" applyNumberFormat="1" applyFont="1" applyBorder="1" applyAlignment="1">
      <alignment horizontal="center"/>
    </xf>
    <xf numFmtId="0" fontId="0" fillId="0" borderId="0" xfId="0" applyFont="1" applyFill="1" applyBorder="1" applyAlignment="1"/>
    <xf numFmtId="0" fontId="0" fillId="0" borderId="0" xfId="0" applyFont="1" applyAlignment="1"/>
    <xf numFmtId="175" fontId="8" fillId="0" borderId="10" xfId="0" applyNumberFormat="1" applyFont="1" applyFill="1" applyBorder="1" applyAlignment="1">
      <alignment horizontal="center"/>
    </xf>
    <xf numFmtId="175" fontId="8" fillId="0" borderId="19" xfId="0" applyNumberFormat="1" applyFont="1" applyFill="1" applyBorder="1" applyAlignment="1">
      <alignment horizontal="center"/>
    </xf>
    <xf numFmtId="0" fontId="8" fillId="0" borderId="0" xfId="0" applyFont="1" applyFill="1" applyBorder="1" applyAlignment="1"/>
    <xf numFmtId="0" fontId="0" fillId="0" borderId="0" xfId="0" applyFill="1" applyBorder="1" applyAlignment="1">
      <alignment horizontal="center" vertical="top" wrapText="1"/>
    </xf>
    <xf numFmtId="16" fontId="0" fillId="0" borderId="9" xfId="0" quotePrefix="1" applyNumberFormat="1" applyFont="1" applyBorder="1" applyAlignment="1">
      <alignment horizontal="center"/>
    </xf>
    <xf numFmtId="175" fontId="8" fillId="0" borderId="33" xfId="0" applyNumberFormat="1" applyFont="1" applyFill="1" applyBorder="1" applyAlignment="1">
      <alignment horizontal="center"/>
    </xf>
    <xf numFmtId="0" fontId="0" fillId="0" borderId="21" xfId="0" applyFont="1" applyFill="1" applyBorder="1" applyAlignment="1">
      <alignment horizontal="left"/>
    </xf>
    <xf numFmtId="44" fontId="0" fillId="0" borderId="0" xfId="2" applyFont="1" applyFill="1" applyBorder="1" applyAlignment="1">
      <alignment horizontal="center"/>
    </xf>
    <xf numFmtId="175" fontId="31" fillId="0" borderId="0" xfId="0" applyNumberFormat="1" applyFont="1" applyFill="1" applyBorder="1" applyAlignment="1">
      <alignment horizontal="center"/>
    </xf>
    <xf numFmtId="43" fontId="8" fillId="0" borderId="19" xfId="0" applyNumberFormat="1" applyFont="1" applyFill="1" applyBorder="1" applyAlignment="1">
      <alignment horizontal="center"/>
    </xf>
    <xf numFmtId="165" fontId="8" fillId="0" borderId="19" xfId="1" applyNumberFormat="1" applyFont="1" applyFill="1" applyBorder="1" applyAlignment="1">
      <alignment horizontal="center"/>
    </xf>
    <xf numFmtId="43" fontId="8" fillId="0" borderId="19" xfId="1" applyFont="1" applyFill="1" applyBorder="1" applyAlignment="1">
      <alignment horizontal="center"/>
    </xf>
    <xf numFmtId="0" fontId="0" fillId="0" borderId="33" xfId="0" applyFont="1" applyFill="1" applyBorder="1" applyAlignment="1">
      <alignment horizontal="center"/>
    </xf>
    <xf numFmtId="165" fontId="0" fillId="0" borderId="19" xfId="1" applyNumberFormat="1" applyFont="1" applyFill="1" applyBorder="1" applyAlignment="1"/>
    <xf numFmtId="171" fontId="0" fillId="0" borderId="19" xfId="1" applyNumberFormat="1" applyFont="1" applyFill="1" applyBorder="1" applyAlignment="1">
      <alignment horizontal="right"/>
    </xf>
    <xf numFmtId="0" fontId="0" fillId="0" borderId="10" xfId="0" applyFont="1" applyFill="1" applyBorder="1" applyAlignment="1">
      <alignment horizontal="right"/>
    </xf>
    <xf numFmtId="44" fontId="8" fillId="0" borderId="8" xfId="2" applyFont="1" applyBorder="1" applyAlignment="1">
      <alignment horizontal="center"/>
    </xf>
    <xf numFmtId="170" fontId="8" fillId="0" borderId="14" xfId="1" applyNumberFormat="1" applyFont="1" applyFill="1" applyBorder="1" applyAlignment="1">
      <alignment horizontal="right" vertical="center"/>
    </xf>
    <xf numFmtId="173" fontId="8" fillId="0" borderId="19" xfId="0" applyNumberFormat="1" applyFont="1" applyFill="1" applyBorder="1" applyAlignment="1">
      <alignment horizontal="center"/>
    </xf>
    <xf numFmtId="1" fontId="8" fillId="0" borderId="19" xfId="0" applyNumberFormat="1" applyFont="1" applyFill="1" applyBorder="1" applyAlignment="1">
      <alignment horizontal="center"/>
    </xf>
    <xf numFmtId="0" fontId="0" fillId="0" borderId="34" xfId="0" applyFont="1" applyFill="1" applyBorder="1" applyAlignment="1">
      <alignment horizontal="left" vertical="top" wrapText="1"/>
    </xf>
    <xf numFmtId="0" fontId="0" fillId="0" borderId="39" xfId="0" applyFont="1" applyFill="1" applyBorder="1" applyAlignment="1">
      <alignment horizontal="left" vertical="top" wrapText="1"/>
    </xf>
    <xf numFmtId="0" fontId="0" fillId="0" borderId="35" xfId="0" applyFont="1" applyFill="1" applyBorder="1" applyAlignment="1">
      <alignment horizontal="left" vertical="top" wrapText="1"/>
    </xf>
    <xf numFmtId="0" fontId="10" fillId="0" borderId="32"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0" fillId="0" borderId="33" xfId="0" applyFont="1" applyBorder="1" applyAlignment="1">
      <alignment horizontal="left" vertical="top" wrapText="1"/>
    </xf>
    <xf numFmtId="0" fontId="0" fillId="0" borderId="0" xfId="0" applyFont="1" applyBorder="1" applyAlignment="1">
      <alignment horizontal="left" vertical="top" wrapText="1"/>
    </xf>
    <xf numFmtId="0" fontId="0" fillId="0" borderId="28" xfId="0" applyFont="1" applyBorder="1" applyAlignment="1">
      <alignment horizontal="left" vertical="top" wrapText="1"/>
    </xf>
    <xf numFmtId="0" fontId="8" fillId="0" borderId="0" xfId="0" applyFont="1" applyFill="1" applyBorder="1" applyAlignment="1">
      <alignment horizontal="center"/>
    </xf>
    <xf numFmtId="165" fontId="8" fillId="0" borderId="19" xfId="1" applyNumberFormat="1" applyFont="1" applyFill="1" applyBorder="1" applyAlignment="1"/>
    <xf numFmtId="165" fontId="8" fillId="0" borderId="10" xfId="1" applyNumberFormat="1" applyFont="1" applyFill="1" applyBorder="1" applyAlignment="1"/>
    <xf numFmtId="0" fontId="8" fillId="0" borderId="28" xfId="0" applyFont="1" applyBorder="1" applyAlignment="1">
      <alignment horizontal="center" wrapText="1"/>
    </xf>
    <xf numFmtId="43" fontId="8" fillId="0" borderId="19" xfId="1" applyNumberFormat="1" applyFont="1" applyFill="1" applyBorder="1" applyAlignment="1"/>
    <xf numFmtId="0" fontId="8" fillId="0" borderId="20" xfId="0" applyFont="1" applyBorder="1" applyAlignment="1">
      <alignment horizontal="center" wrapText="1"/>
    </xf>
    <xf numFmtId="0" fontId="10" fillId="0" borderId="32" xfId="0" applyFont="1" applyFill="1" applyBorder="1" applyAlignment="1">
      <alignment horizontal="center" vertical="center" wrapText="1"/>
    </xf>
    <xf numFmtId="0" fontId="10" fillId="0" borderId="22" xfId="0"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9" xfId="0" applyFont="1" applyFill="1" applyBorder="1" applyAlignment="1">
      <alignment horizontal="center" vertical="center"/>
    </xf>
    <xf numFmtId="0" fontId="0" fillId="0" borderId="0" xfId="0" applyFont="1" applyFill="1" applyAlignment="1">
      <alignment wrapText="1"/>
    </xf>
    <xf numFmtId="0" fontId="8" fillId="0" borderId="10" xfId="0" applyFont="1" applyFill="1" applyBorder="1" applyAlignment="1">
      <alignment wrapText="1"/>
    </xf>
    <xf numFmtId="0" fontId="8" fillId="0" borderId="14" xfId="0" applyFont="1" applyFill="1" applyBorder="1" applyAlignment="1">
      <alignment wrapText="1"/>
    </xf>
    <xf numFmtId="0" fontId="8" fillId="0" borderId="13" xfId="0" applyFont="1" applyFill="1" applyBorder="1" applyAlignment="1">
      <alignment wrapText="1"/>
    </xf>
    <xf numFmtId="169" fontId="8" fillId="0" borderId="9" xfId="1" applyNumberFormat="1" applyFont="1" applyFill="1" applyBorder="1" applyAlignment="1">
      <alignment horizontal="center"/>
    </xf>
    <xf numFmtId="166" fontId="8" fillId="0" borderId="13" xfId="0" applyNumberFormat="1" applyFont="1" applyFill="1" applyBorder="1" applyAlignment="1">
      <alignment horizontal="right" vertical="center"/>
    </xf>
    <xf numFmtId="43" fontId="8" fillId="0" borderId="14" xfId="1" applyNumberFormat="1" applyFont="1" applyFill="1" applyBorder="1" applyAlignment="1">
      <alignment horizontal="center"/>
    </xf>
    <xf numFmtId="0" fontId="0" fillId="0" borderId="34" xfId="0" applyFont="1" applyBorder="1" applyAlignment="1">
      <alignment horizontal="left" wrapText="1"/>
    </xf>
    <xf numFmtId="0" fontId="0" fillId="0" borderId="39" xfId="0" applyFont="1" applyBorder="1" applyAlignment="1">
      <alignment horizontal="left" wrapText="1"/>
    </xf>
    <xf numFmtId="0" fontId="0" fillId="0" borderId="35" xfId="0" applyFont="1" applyBorder="1" applyAlignment="1">
      <alignment horizontal="left" wrapText="1"/>
    </xf>
    <xf numFmtId="0" fontId="4" fillId="0" borderId="14" xfId="0" applyFont="1" applyFill="1" applyBorder="1" applyAlignment="1">
      <alignment horizontal="left" vertical="center"/>
    </xf>
    <xf numFmtId="0" fontId="4" fillId="0" borderId="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9" xfId="0" applyFont="1" applyFill="1" applyBorder="1" applyAlignment="1">
      <alignment horizontal="center" vertical="center" wrapText="1"/>
    </xf>
    <xf numFmtId="0" fontId="10" fillId="0" borderId="10" xfId="0" applyFont="1" applyFill="1" applyBorder="1" applyAlignment="1">
      <alignment horizontal="center" vertical="center"/>
    </xf>
    <xf numFmtId="0" fontId="10" fillId="0" borderId="13" xfId="0" applyFont="1" applyFill="1" applyBorder="1" applyAlignment="1">
      <alignment horizontal="center" vertical="center"/>
    </xf>
    <xf numFmtId="44" fontId="0" fillId="0" borderId="8" xfId="2" applyFont="1" applyFill="1" applyBorder="1" applyAlignment="1">
      <alignment horizontal="center" vertical="center"/>
    </xf>
    <xf numFmtId="0" fontId="0" fillId="0" borderId="8" xfId="0" applyFont="1" applyFill="1" applyBorder="1" applyAlignment="1">
      <alignment horizontal="center" vertical="center"/>
    </xf>
    <xf numFmtId="165" fontId="0" fillId="0" borderId="19" xfId="1" applyNumberFormat="1" applyFont="1" applyFill="1" applyBorder="1" applyAlignment="1">
      <alignment vertical="center"/>
    </xf>
    <xf numFmtId="0" fontId="0" fillId="0" borderId="20" xfId="0" applyFont="1" applyFill="1" applyBorder="1" applyAlignment="1">
      <alignment horizontal="center" vertical="center"/>
    </xf>
    <xf numFmtId="44" fontId="0" fillId="0" borderId="9" xfId="2" applyFont="1" applyFill="1" applyBorder="1" applyAlignment="1">
      <alignment vertical="center"/>
    </xf>
    <xf numFmtId="0" fontId="10" fillId="0" borderId="9" xfId="0" applyFont="1" applyBorder="1" applyAlignment="1">
      <alignment horizontal="left"/>
    </xf>
    <xf numFmtId="0" fontId="0" fillId="0" borderId="8" xfId="0" applyFont="1" applyFill="1" applyBorder="1" applyAlignment="1">
      <alignment horizontal="center" wrapText="1"/>
    </xf>
    <xf numFmtId="0" fontId="0" fillId="0" borderId="20" xfId="0" applyFont="1" applyFill="1" applyBorder="1" applyAlignment="1">
      <alignment horizontal="center" wrapText="1"/>
    </xf>
    <xf numFmtId="165" fontId="0" fillId="0" borderId="14" xfId="1" applyNumberFormat="1" applyFont="1" applyFill="1" applyBorder="1" applyAlignment="1">
      <alignment horizontal="right" vertical="center"/>
    </xf>
    <xf numFmtId="0" fontId="4" fillId="0" borderId="10" xfId="0" applyFont="1" applyBorder="1" applyAlignment="1">
      <alignment horizontal="left" wrapText="1"/>
    </xf>
    <xf numFmtId="0" fontId="4" fillId="0" borderId="14" xfId="0" applyFont="1" applyBorder="1" applyAlignment="1">
      <alignment horizontal="left" wrapText="1"/>
    </xf>
    <xf numFmtId="0" fontId="4" fillId="0" borderId="13" xfId="0" applyFont="1" applyBorder="1" applyAlignment="1">
      <alignment horizontal="left" wrapText="1"/>
    </xf>
    <xf numFmtId="0" fontId="4" fillId="0" borderId="19" xfId="0" applyFont="1" applyFill="1" applyBorder="1" applyAlignment="1">
      <alignment horizontal="center" wrapText="1"/>
    </xf>
    <xf numFmtId="0" fontId="4" fillId="0" borderId="20" xfId="0" applyFont="1" applyFill="1" applyBorder="1" applyAlignment="1">
      <alignment horizontal="center" wrapText="1"/>
    </xf>
    <xf numFmtId="0" fontId="0" fillId="0" borderId="0" xfId="0" applyFont="1" applyFill="1" applyAlignment="1">
      <alignment horizontal="center"/>
    </xf>
    <xf numFmtId="0" fontId="0" fillId="0" borderId="13" xfId="0" applyFont="1" applyBorder="1" applyAlignment="1"/>
    <xf numFmtId="0" fontId="4" fillId="0" borderId="9" xfId="0" applyFont="1" applyFill="1" applyBorder="1" applyAlignment="1">
      <alignment horizontal="left" vertical="center"/>
    </xf>
    <xf numFmtId="0" fontId="4" fillId="0" borderId="10" xfId="0" applyFont="1" applyBorder="1" applyAlignment="1">
      <alignment vertical="center"/>
    </xf>
    <xf numFmtId="0" fontId="4" fillId="0" borderId="13" xfId="0" applyFont="1" applyBorder="1" applyAlignment="1">
      <alignment vertical="center"/>
    </xf>
    <xf numFmtId="37" fontId="0" fillId="0" borderId="14" xfId="1" applyNumberFormat="1" applyFont="1" applyFill="1" applyBorder="1" applyAlignment="1">
      <alignment horizontal="center" vertical="center"/>
    </xf>
    <xf numFmtId="0" fontId="4" fillId="0" borderId="10" xfId="0" applyFont="1" applyBorder="1" applyAlignment="1">
      <alignment horizontal="left" wrapText="1"/>
    </xf>
    <xf numFmtId="0" fontId="4" fillId="0" borderId="14" xfId="0" applyFont="1" applyBorder="1" applyAlignment="1">
      <alignment horizontal="left" wrapText="1"/>
    </xf>
    <xf numFmtId="0" fontId="4" fillId="0" borderId="13" xfId="0" applyFont="1" applyBorder="1" applyAlignment="1">
      <alignment horizontal="left" wrapText="1"/>
    </xf>
    <xf numFmtId="0" fontId="4" fillId="0" borderId="19" xfId="0" applyFont="1" applyFill="1" applyBorder="1" applyAlignment="1">
      <alignment horizontal="center" wrapText="1"/>
    </xf>
    <xf numFmtId="0" fontId="4" fillId="0" borderId="9" xfId="0" applyFont="1" applyFill="1" applyBorder="1" applyAlignment="1">
      <alignment horizontal="left"/>
    </xf>
    <xf numFmtId="0" fontId="0" fillId="0" borderId="20" xfId="0" applyFont="1" applyFill="1" applyBorder="1" applyAlignment="1">
      <alignment horizontal="center" vertical="center" wrapText="1"/>
    </xf>
    <xf numFmtId="164" fontId="0" fillId="0" borderId="8" xfId="0" applyNumberFormat="1" applyFont="1" applyFill="1" applyBorder="1" applyAlignment="1">
      <alignment horizontal="center" vertical="center"/>
    </xf>
    <xf numFmtId="164" fontId="0" fillId="0" borderId="9" xfId="2" applyNumberFormat="1" applyFont="1" applyFill="1" applyBorder="1" applyAlignment="1">
      <alignment horizontal="center" vertical="center"/>
    </xf>
    <xf numFmtId="164" fontId="0" fillId="0" borderId="0" xfId="0" applyNumberFormat="1" applyFont="1" applyFill="1" applyAlignment="1">
      <alignment horizontal="right"/>
    </xf>
    <xf numFmtId="0" fontId="0" fillId="0" borderId="0" xfId="0" applyFont="1" applyFill="1" applyAlignment="1">
      <alignment horizontal="right"/>
    </xf>
    <xf numFmtId="0" fontId="10" fillId="0" borderId="9" xfId="0" applyFont="1" applyBorder="1" applyAlignment="1">
      <alignment horizontal="left" vertical="center" wrapText="1"/>
    </xf>
    <xf numFmtId="0" fontId="8" fillId="0" borderId="10" xfId="0" quotePrefix="1" applyFont="1" applyBorder="1" applyAlignment="1">
      <alignment horizontal="left" vertical="center" wrapText="1"/>
    </xf>
    <xf numFmtId="44" fontId="8" fillId="0" borderId="9" xfId="2" applyFont="1" applyBorder="1" applyAlignment="1">
      <alignment vertical="center" wrapText="1"/>
    </xf>
    <xf numFmtId="0" fontId="0" fillId="0" borderId="10" xfId="0" quotePrefix="1" applyFont="1" applyBorder="1" applyAlignment="1"/>
    <xf numFmtId="0" fontId="8" fillId="0" borderId="9" xfId="0" quotePrefix="1" applyFont="1" applyBorder="1" applyAlignment="1">
      <alignment horizontal="left"/>
    </xf>
    <xf numFmtId="0" fontId="8" fillId="0" borderId="14" xfId="0" applyFont="1" applyBorder="1"/>
    <xf numFmtId="0" fontId="10" fillId="0" borderId="14" xfId="0" applyFont="1" applyFill="1" applyBorder="1" applyAlignment="1">
      <alignment horizontal="right"/>
    </xf>
    <xf numFmtId="0" fontId="8" fillId="0" borderId="34" xfId="0" applyFont="1" applyBorder="1" applyAlignment="1">
      <alignment horizontal="left"/>
    </xf>
    <xf numFmtId="0" fontId="8" fillId="0" borderId="39" xfId="0" applyFont="1" applyBorder="1" applyAlignment="1">
      <alignment horizontal="left"/>
    </xf>
    <xf numFmtId="0" fontId="8" fillId="0" borderId="35" xfId="0" applyFont="1" applyBorder="1" applyAlignment="1">
      <alignment horizontal="left"/>
    </xf>
    <xf numFmtId="0" fontId="8" fillId="0" borderId="10" xfId="0" applyFont="1" applyBorder="1" applyAlignment="1"/>
    <xf numFmtId="0" fontId="8" fillId="0" borderId="14" xfId="0" applyFont="1" applyBorder="1" applyAlignment="1"/>
    <xf numFmtId="0" fontId="8" fillId="0" borderId="13" xfId="0" applyFont="1" applyBorder="1" applyAlignment="1"/>
    <xf numFmtId="0" fontId="0" fillId="0" borderId="0" xfId="0" applyFill="1" applyBorder="1" applyAlignment="1">
      <alignment horizontal="center" wrapText="1"/>
    </xf>
    <xf numFmtId="0" fontId="0" fillId="0" borderId="0" xfId="0" applyFont="1" applyFill="1" applyAlignment="1">
      <alignment vertical="top"/>
    </xf>
    <xf numFmtId="0" fontId="0" fillId="0" borderId="0" xfId="0" applyFont="1" applyFill="1" applyAlignment="1">
      <alignment horizontal="left" wrapText="1"/>
    </xf>
    <xf numFmtId="0" fontId="8" fillId="0" borderId="36" xfId="0" applyFont="1" applyFill="1" applyBorder="1" applyAlignment="1">
      <alignment horizontal="left" vertical="top" wrapText="1"/>
    </xf>
    <xf numFmtId="0" fontId="8" fillId="0" borderId="31" xfId="0" applyFont="1" applyFill="1" applyBorder="1" applyAlignment="1">
      <alignment horizontal="left" vertical="top" wrapText="1"/>
    </xf>
    <xf numFmtId="0" fontId="8" fillId="0" borderId="30" xfId="0" applyFont="1" applyFill="1" applyBorder="1" applyAlignment="1">
      <alignment horizontal="left" vertical="top" wrapText="1"/>
    </xf>
    <xf numFmtId="0" fontId="8" fillId="0" borderId="19" xfId="1" applyNumberFormat="1" applyFont="1" applyFill="1" applyBorder="1" applyAlignment="1">
      <alignment horizontal="center"/>
    </xf>
    <xf numFmtId="43" fontId="8" fillId="0" borderId="14" xfId="1" applyNumberFormat="1" applyFont="1" applyFill="1" applyBorder="1" applyAlignment="1">
      <alignment horizontal="center" vertical="center"/>
    </xf>
    <xf numFmtId="164" fontId="0" fillId="0" borderId="9" xfId="0" applyNumberFormat="1" applyFont="1" applyFill="1" applyBorder="1" applyAlignment="1">
      <alignment horizontal="center"/>
    </xf>
    <xf numFmtId="9" fontId="0" fillId="0" borderId="19" xfId="0" applyNumberFormat="1" applyFont="1" applyFill="1" applyBorder="1" applyAlignment="1">
      <alignment horizontal="center"/>
    </xf>
    <xf numFmtId="0" fontId="0" fillId="0" borderId="1" xfId="0" applyFont="1" applyFill="1" applyBorder="1" applyAlignment="1">
      <alignment horizontal="center"/>
    </xf>
    <xf numFmtId="0" fontId="0" fillId="0" borderId="14" xfId="0" applyFont="1" applyFill="1" applyBorder="1" applyAlignment="1">
      <alignment horizontal="center"/>
    </xf>
    <xf numFmtId="44" fontId="0" fillId="0" borderId="8" xfId="0" applyNumberFormat="1" applyFont="1" applyFill="1" applyBorder="1" applyAlignment="1">
      <alignment horizontal="center" wrapText="1"/>
    </xf>
    <xf numFmtId="0" fontId="0" fillId="0" borderId="19" xfId="0" applyFont="1" applyFill="1" applyBorder="1" applyAlignment="1">
      <alignment horizontal="center" wrapText="1"/>
    </xf>
    <xf numFmtId="164" fontId="0" fillId="0" borderId="8" xfId="0" applyNumberFormat="1" applyFont="1" applyFill="1" applyBorder="1" applyAlignment="1">
      <alignment horizontal="center" wrapText="1"/>
    </xf>
    <xf numFmtId="3" fontId="0" fillId="0" borderId="19" xfId="0" applyNumberFormat="1" applyFont="1" applyFill="1" applyBorder="1" applyAlignment="1">
      <alignment horizontal="center"/>
    </xf>
    <xf numFmtId="164" fontId="0" fillId="0" borderId="0" xfId="0" applyNumberFormat="1" applyFont="1" applyAlignment="1">
      <alignment horizontal="right" wrapText="1"/>
    </xf>
    <xf numFmtId="0" fontId="0" fillId="0" borderId="0" xfId="0" applyFont="1" applyAlignment="1">
      <alignment horizontal="center" wrapText="1"/>
    </xf>
    <xf numFmtId="0" fontId="0" fillId="0" borderId="0" xfId="0" applyFont="1" applyAlignment="1">
      <alignment horizontal="right" wrapText="1"/>
    </xf>
    <xf numFmtId="0" fontId="33" fillId="0" borderId="9" xfId="0" applyNumberFormat="1" applyFont="1" applyFill="1" applyBorder="1" applyAlignment="1" applyProtection="1"/>
    <xf numFmtId="0" fontId="8" fillId="0" borderId="10" xfId="0" applyFont="1" applyFill="1" applyBorder="1" applyAlignment="1"/>
    <xf numFmtId="0" fontId="8" fillId="0" borderId="13" xfId="0" applyFont="1" applyFill="1" applyBorder="1" applyAlignment="1"/>
    <xf numFmtId="0" fontId="10" fillId="0" borderId="23" xfId="0" applyFont="1" applyFill="1" applyBorder="1" applyAlignment="1">
      <alignment horizontal="center"/>
    </xf>
    <xf numFmtId="0" fontId="0" fillId="0" borderId="14" xfId="0" applyFont="1" applyBorder="1" applyAlignment="1">
      <alignment vertical="center" wrapText="1"/>
    </xf>
    <xf numFmtId="165" fontId="0" fillId="0" borderId="14" xfId="1" applyNumberFormat="1" applyFont="1" applyBorder="1" applyAlignment="1">
      <alignment vertical="center"/>
    </xf>
    <xf numFmtId="0" fontId="35" fillId="0" borderId="10" xfId="0" applyFont="1" applyFill="1" applyBorder="1" applyAlignment="1">
      <alignment horizontal="left"/>
    </xf>
    <xf numFmtId="0" fontId="31" fillId="0" borderId="14" xfId="0" applyFont="1" applyFill="1" applyBorder="1" applyAlignment="1">
      <alignment horizontal="left"/>
    </xf>
    <xf numFmtId="44" fontId="0" fillId="0" borderId="8" xfId="2" applyFont="1" applyFill="1" applyBorder="1" applyAlignment="1">
      <alignment vertical="center"/>
    </xf>
    <xf numFmtId="0" fontId="0" fillId="0" borderId="9" xfId="0" quotePrefix="1" applyFont="1" applyBorder="1" applyAlignment="1">
      <alignment horizontal="center"/>
    </xf>
    <xf numFmtId="0" fontId="35" fillId="0" borderId="10" xfId="0" applyFont="1" applyFill="1" applyBorder="1" applyAlignment="1"/>
    <xf numFmtId="0" fontId="35" fillId="0" borderId="14" xfId="0" applyFont="1" applyFill="1" applyBorder="1" applyAlignment="1"/>
    <xf numFmtId="0" fontId="35" fillId="0" borderId="13" xfId="0" applyFont="1" applyFill="1" applyBorder="1" applyAlignment="1"/>
    <xf numFmtId="44" fontId="0" fillId="0" borderId="9" xfId="2" applyFont="1" applyBorder="1" applyAlignment="1">
      <alignment vertical="center"/>
    </xf>
    <xf numFmtId="44" fontId="0" fillId="0" borderId="13" xfId="0" applyNumberFormat="1" applyFont="1" applyFill="1" applyBorder="1" applyAlignment="1">
      <alignment horizontal="left"/>
    </xf>
    <xf numFmtId="0" fontId="0" fillId="0" borderId="10" xfId="2" applyNumberFormat="1" applyFont="1" applyFill="1" applyBorder="1" applyAlignment="1">
      <alignment horizontal="center"/>
    </xf>
    <xf numFmtId="182" fontId="0" fillId="0" borderId="19" xfId="0" applyNumberFormat="1" applyFont="1" applyFill="1" applyBorder="1" applyAlignment="1">
      <alignment horizontal="center"/>
    </xf>
    <xf numFmtId="183" fontId="0" fillId="0" borderId="9" xfId="3" applyNumberFormat="1" applyFont="1" applyFill="1" applyBorder="1" applyAlignment="1">
      <alignment horizontal="center" wrapText="1"/>
    </xf>
    <xf numFmtId="180" fontId="0" fillId="0" borderId="8" xfId="2" applyNumberFormat="1" applyFont="1" applyFill="1" applyBorder="1" applyAlignment="1">
      <alignment horizontal="center"/>
    </xf>
    <xf numFmtId="182" fontId="0" fillId="0" borderId="10" xfId="0" applyNumberFormat="1" applyFont="1" applyFill="1" applyBorder="1" applyAlignment="1">
      <alignment horizontal="center"/>
    </xf>
    <xf numFmtId="43" fontId="0" fillId="0" borderId="9" xfId="0" applyNumberFormat="1" applyFont="1" applyFill="1" applyBorder="1"/>
    <xf numFmtId="183" fontId="0" fillId="0" borderId="9" xfId="3" applyNumberFormat="1" applyFont="1" applyFill="1" applyBorder="1" applyAlignment="1">
      <alignment horizontal="center" vertical="center" wrapText="1"/>
    </xf>
    <xf numFmtId="180" fontId="0" fillId="0" borderId="8" xfId="2" applyNumberFormat="1" applyFont="1" applyFill="1" applyBorder="1" applyAlignment="1">
      <alignment horizontal="center" vertical="center"/>
    </xf>
    <xf numFmtId="180" fontId="0" fillId="0" borderId="9" xfId="0" applyNumberFormat="1" applyFont="1" applyFill="1" applyBorder="1"/>
    <xf numFmtId="0" fontId="8" fillId="0" borderId="32" xfId="0" applyFont="1" applyFill="1" applyBorder="1" applyAlignment="1">
      <alignment horizontal="center"/>
    </xf>
    <xf numFmtId="0" fontId="8" fillId="0" borderId="21" xfId="0" applyFont="1" applyFill="1" applyBorder="1" applyAlignment="1">
      <alignment horizontal="center"/>
    </xf>
    <xf numFmtId="0" fontId="8" fillId="0" borderId="22" xfId="0" applyFont="1" applyFill="1" applyBorder="1" applyAlignment="1">
      <alignment horizontal="center"/>
    </xf>
    <xf numFmtId="0" fontId="8" fillId="0" borderId="19" xfId="0" applyFont="1" applyFill="1" applyBorder="1" applyAlignment="1">
      <alignment horizontal="center"/>
    </xf>
    <xf numFmtId="0" fontId="8" fillId="0" borderId="1" xfId="0" applyFont="1" applyFill="1" applyBorder="1" applyAlignment="1">
      <alignment horizontal="center"/>
    </xf>
    <xf numFmtId="0" fontId="8" fillId="0" borderId="20" xfId="0" applyFont="1" applyFill="1" applyBorder="1" applyAlignment="1">
      <alignment horizontal="center"/>
    </xf>
    <xf numFmtId="166" fontId="8" fillId="0" borderId="9" xfId="0" applyNumberFormat="1" applyFont="1" applyFill="1" applyBorder="1" applyAlignment="1"/>
    <xf numFmtId="0" fontId="4" fillId="0" borderId="12" xfId="0" applyFont="1" applyFill="1" applyBorder="1" applyAlignment="1">
      <alignment horizontal="center" wrapText="1"/>
    </xf>
    <xf numFmtId="2" fontId="8" fillId="0" borderId="9" xfId="0" applyNumberFormat="1" applyFont="1" applyBorder="1" applyAlignment="1">
      <alignment horizontal="center"/>
    </xf>
    <xf numFmtId="0" fontId="0" fillId="0" borderId="15" xfId="0" applyFont="1" applyBorder="1"/>
    <xf numFmtId="0" fontId="36" fillId="0" borderId="45" xfId="6" applyFont="1" applyBorder="1" applyAlignment="1">
      <alignment horizontal="left" vertical="center" wrapText="1"/>
    </xf>
    <xf numFmtId="0" fontId="36" fillId="0" borderId="8" xfId="6" applyFont="1" applyBorder="1" applyAlignment="1">
      <alignment horizontal="left" vertical="center" wrapText="1"/>
    </xf>
    <xf numFmtId="0" fontId="36" fillId="0" borderId="11" xfId="6" applyFont="1" applyBorder="1" applyAlignment="1">
      <alignment horizontal="left" vertical="center" wrapText="1"/>
    </xf>
    <xf numFmtId="0" fontId="36" fillId="0" borderId="0" xfId="6" applyFont="1" applyAlignment="1">
      <alignment horizontal="left" vertical="center" wrapText="1"/>
    </xf>
    <xf numFmtId="0" fontId="36" fillId="0" borderId="7" xfId="6" applyFont="1" applyBorder="1" applyAlignment="1">
      <alignment horizontal="left" vertical="center" wrapText="1"/>
    </xf>
    <xf numFmtId="0" fontId="36" fillId="0" borderId="9" xfId="6" applyFont="1" applyBorder="1" applyAlignment="1">
      <alignment horizontal="left" vertical="center" wrapText="1"/>
    </xf>
    <xf numFmtId="0" fontId="36" fillId="0" borderId="12" xfId="6" applyFont="1" applyBorder="1" applyAlignment="1">
      <alignment horizontal="left" vertical="center" wrapText="1"/>
    </xf>
    <xf numFmtId="0" fontId="36" fillId="0" borderId="4" xfId="6" applyFont="1" applyBorder="1" applyAlignment="1">
      <alignment horizontal="left" vertical="center" wrapText="1"/>
    </xf>
    <xf numFmtId="0" fontId="36" fillId="0" borderId="5" xfId="6" applyFont="1" applyBorder="1" applyAlignment="1">
      <alignment horizontal="left" vertical="center" wrapText="1"/>
    </xf>
    <xf numFmtId="0" fontId="36" fillId="0" borderId="6" xfId="6" applyFont="1" applyBorder="1" applyAlignment="1">
      <alignment horizontal="left" vertical="center" wrapText="1"/>
    </xf>
    <xf numFmtId="0" fontId="37" fillId="6" borderId="9" xfId="0" applyFont="1" applyFill="1" applyBorder="1" applyAlignment="1">
      <alignment horizontal="center" vertical="center" wrapText="1"/>
    </xf>
    <xf numFmtId="0" fontId="37" fillId="6" borderId="12" xfId="0" applyFont="1" applyFill="1" applyBorder="1" applyAlignment="1">
      <alignment horizontal="center" vertical="center" wrapText="1"/>
    </xf>
    <xf numFmtId="0" fontId="38" fillId="6" borderId="37" xfId="0" applyFont="1" applyFill="1" applyBorder="1" applyAlignment="1">
      <alignment horizontal="center"/>
    </xf>
    <xf numFmtId="0" fontId="38" fillId="6" borderId="25" xfId="0" applyFont="1" applyFill="1" applyBorder="1" applyAlignment="1">
      <alignment horizontal="center"/>
    </xf>
    <xf numFmtId="0" fontId="38" fillId="6" borderId="26" xfId="0" applyFont="1" applyFill="1" applyBorder="1" applyAlignment="1">
      <alignment horizontal="center"/>
    </xf>
    <xf numFmtId="0" fontId="38" fillId="6" borderId="41" xfId="0" applyFont="1" applyFill="1" applyBorder="1" applyAlignment="1">
      <alignment horizontal="center"/>
    </xf>
    <xf numFmtId="0" fontId="38" fillId="6" borderId="2" xfId="0" applyFont="1" applyFill="1" applyBorder="1" applyAlignment="1">
      <alignment horizontal="center"/>
    </xf>
    <xf numFmtId="0" fontId="38" fillId="6" borderId="46" xfId="0" applyFont="1" applyFill="1" applyBorder="1" applyAlignment="1">
      <alignment horizontal="center"/>
    </xf>
    <xf numFmtId="0" fontId="38" fillId="6" borderId="38" xfId="0" applyFont="1" applyFill="1" applyBorder="1" applyAlignment="1">
      <alignment horizontal="center"/>
    </xf>
    <xf numFmtId="0" fontId="0" fillId="0" borderId="27" xfId="0" applyFont="1" applyFill="1" applyBorder="1"/>
    <xf numFmtId="0" fontId="4" fillId="0" borderId="13" xfId="0" applyFont="1" applyFill="1" applyBorder="1" applyAlignment="1">
      <alignment horizontal="center" vertical="center" textRotation="90" wrapText="1"/>
    </xf>
    <xf numFmtId="0" fontId="4" fillId="0" borderId="13" xfId="0" applyFont="1" applyFill="1" applyBorder="1" applyAlignment="1">
      <alignment horizontal="center" wrapText="1"/>
    </xf>
    <xf numFmtId="0" fontId="4" fillId="0" borderId="10" xfId="0" applyFont="1" applyFill="1" applyBorder="1" applyAlignment="1">
      <alignment horizontal="center" wrapText="1"/>
    </xf>
    <xf numFmtId="0" fontId="4" fillId="0" borderId="47" xfId="0" applyFont="1" applyFill="1" applyBorder="1" applyAlignment="1">
      <alignment horizontal="center" wrapText="1"/>
    </xf>
    <xf numFmtId="0" fontId="4" fillId="6" borderId="46" xfId="0" applyFont="1" applyFill="1" applyBorder="1" applyAlignment="1">
      <alignment horizontal="center" wrapText="1"/>
    </xf>
    <xf numFmtId="0" fontId="7" fillId="0" borderId="27" xfId="4" applyFont="1" applyFill="1" applyBorder="1" applyProtection="1"/>
    <xf numFmtId="49" fontId="10" fillId="0" borderId="48" xfId="5" applyNumberFormat="1" applyFont="1" applyFill="1" applyBorder="1" applyAlignment="1" applyProtection="1">
      <alignment horizontal="center" vertical="center" wrapText="1"/>
    </xf>
    <xf numFmtId="49" fontId="10" fillId="0" borderId="49" xfId="5" applyNumberFormat="1" applyFont="1" applyFill="1" applyBorder="1" applyAlignment="1" applyProtection="1">
      <alignment horizontal="center" vertical="center" wrapText="1"/>
    </xf>
    <xf numFmtId="49" fontId="10" fillId="0" borderId="30" xfId="5" applyNumberFormat="1" applyFont="1" applyFill="1" applyBorder="1" applyAlignment="1" applyProtection="1">
      <alignment horizontal="center" vertical="center" wrapText="1"/>
    </xf>
    <xf numFmtId="0" fontId="4" fillId="0" borderId="6" xfId="0" applyFont="1" applyFill="1" applyBorder="1" applyAlignment="1">
      <alignment horizontal="center" vertical="center" wrapText="1"/>
    </xf>
    <xf numFmtId="0" fontId="4" fillId="0" borderId="35" xfId="0" applyFont="1" applyFill="1" applyBorder="1" applyAlignment="1">
      <alignment horizontal="center" vertical="center" wrapText="1"/>
    </xf>
    <xf numFmtId="0" fontId="4" fillId="0" borderId="5" xfId="0" applyFont="1" applyFill="1" applyBorder="1" applyAlignment="1">
      <alignment horizontal="center" vertical="center"/>
    </xf>
    <xf numFmtId="175" fontId="4" fillId="0" borderId="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6" borderId="51" xfId="0" applyFont="1" applyFill="1" applyBorder="1" applyAlignment="1">
      <alignment horizontal="center" vertical="center" wrapText="1"/>
    </xf>
    <xf numFmtId="0" fontId="8" fillId="0" borderId="27" xfId="4" applyFont="1" applyFill="1" applyBorder="1" applyAlignment="1" applyProtection="1">
      <alignment horizontal="center" vertical="top" wrapText="1"/>
    </xf>
    <xf numFmtId="0" fontId="0" fillId="0" borderId="12" xfId="0" applyFill="1" applyBorder="1" applyAlignment="1">
      <alignment horizontal="center"/>
    </xf>
    <xf numFmtId="0" fontId="8" fillId="0" borderId="20" xfId="4" applyFont="1" applyFill="1" applyBorder="1" applyAlignment="1" applyProtection="1">
      <alignment horizontal="center"/>
    </xf>
    <xf numFmtId="0" fontId="8" fillId="0" borderId="8" xfId="4" applyFont="1" applyFill="1" applyBorder="1" applyAlignment="1" applyProtection="1">
      <alignment horizontal="center"/>
    </xf>
    <xf numFmtId="0" fontId="8" fillId="0" borderId="26" xfId="4" applyFont="1" applyFill="1" applyBorder="1" applyAlignment="1" applyProtection="1">
      <alignment horizontal="center"/>
    </xf>
    <xf numFmtId="0" fontId="8" fillId="0" borderId="11" xfId="4" applyFont="1" applyFill="1" applyBorder="1" applyAlignment="1" applyProtection="1">
      <alignment horizontal="center"/>
    </xf>
    <xf numFmtId="0" fontId="8" fillId="0" borderId="46" xfId="4" applyFont="1" applyFill="1" applyBorder="1" applyAlignment="1" applyProtection="1">
      <alignment horizontal="center"/>
    </xf>
    <xf numFmtId="166" fontId="8" fillId="6" borderId="46" xfId="4" applyNumberFormat="1" applyFont="1" applyFill="1" applyBorder="1" applyAlignment="1" applyProtection="1">
      <alignment horizontal="center"/>
    </xf>
    <xf numFmtId="0" fontId="8" fillId="0" borderId="13" xfId="4" applyFont="1" applyFill="1" applyBorder="1" applyAlignment="1" applyProtection="1">
      <alignment horizontal="center"/>
    </xf>
    <xf numFmtId="0" fontId="8" fillId="0" borderId="12" xfId="4" applyFont="1" applyFill="1" applyBorder="1" applyAlignment="1" applyProtection="1">
      <alignment horizontal="center"/>
    </xf>
    <xf numFmtId="0" fontId="8" fillId="0" borderId="9" xfId="4" applyFont="1" applyFill="1" applyBorder="1" applyAlignment="1" applyProtection="1">
      <alignment horizontal="center"/>
    </xf>
    <xf numFmtId="0" fontId="8" fillId="0" borderId="47" xfId="4" applyFont="1" applyFill="1" applyBorder="1" applyAlignment="1" applyProtection="1">
      <alignment horizontal="center"/>
    </xf>
    <xf numFmtId="166" fontId="8" fillId="6" borderId="52" xfId="4" applyNumberFormat="1" applyFont="1" applyFill="1" applyBorder="1" applyAlignment="1" applyProtection="1">
      <alignment horizontal="center"/>
    </xf>
    <xf numFmtId="0" fontId="8" fillId="0" borderId="13" xfId="4" quotePrefix="1" applyFont="1" applyFill="1" applyBorder="1" applyAlignment="1" applyProtection="1">
      <alignment horizontal="center"/>
    </xf>
    <xf numFmtId="0" fontId="4" fillId="0" borderId="0" xfId="0" applyFont="1"/>
    <xf numFmtId="184" fontId="0" fillId="0" borderId="0" xfId="0" applyNumberFormat="1" applyFont="1"/>
    <xf numFmtId="49" fontId="0" fillId="0" borderId="0" xfId="0" applyNumberFormat="1"/>
    <xf numFmtId="0" fontId="0" fillId="0" borderId="0" xfId="0" applyAlignment="1">
      <alignment horizontal="left" wrapText="1"/>
    </xf>
    <xf numFmtId="0" fontId="0" fillId="0" borderId="0" xfId="0" applyAlignment="1">
      <alignment horizontal="left" wrapText="1"/>
    </xf>
    <xf numFmtId="0" fontId="0" fillId="0" borderId="0" xfId="0" applyAlignment="1">
      <alignment wrapText="1"/>
    </xf>
    <xf numFmtId="0" fontId="40" fillId="0" borderId="53" xfId="7" applyBorder="1" applyAlignment="1">
      <alignment horizontal="center" vertical="center" wrapText="1"/>
    </xf>
    <xf numFmtId="0" fontId="4" fillId="0" borderId="18" xfId="0" applyFont="1" applyBorder="1" applyAlignment="1">
      <alignment horizontal="center" vertical="center" wrapText="1"/>
    </xf>
    <xf numFmtId="0" fontId="40" fillId="0" borderId="18" xfId="7" applyBorder="1" applyAlignment="1">
      <alignment horizontal="center" vertical="center" wrapText="1"/>
    </xf>
    <xf numFmtId="0" fontId="0" fillId="0" borderId="53" xfId="0" applyBorder="1" applyAlignment="1">
      <alignment vertical="center" wrapText="1"/>
    </xf>
    <xf numFmtId="0" fontId="0" fillId="0" borderId="18" xfId="0" applyBorder="1" applyAlignment="1">
      <alignment vertical="center" wrapText="1"/>
    </xf>
    <xf numFmtId="0" fontId="0" fillId="0" borderId="54" xfId="0" applyBorder="1" applyAlignment="1">
      <alignment vertical="center" wrapText="1"/>
    </xf>
    <xf numFmtId="0" fontId="0" fillId="0" borderId="44" xfId="0" applyBorder="1" applyAlignment="1">
      <alignment vertical="center" wrapText="1"/>
    </xf>
    <xf numFmtId="0" fontId="0" fillId="0" borderId="9" xfId="0" applyBorder="1" applyAlignment="1">
      <alignment horizontal="left" vertical="top" wrapText="1"/>
    </xf>
    <xf numFmtId="0" fontId="0" fillId="0" borderId="9" xfId="0" applyBorder="1" applyAlignment="1">
      <alignment vertical="top"/>
    </xf>
    <xf numFmtId="0" fontId="0" fillId="0" borderId="9" xfId="0" applyBorder="1" applyAlignment="1">
      <alignment horizontal="left" vertical="top"/>
    </xf>
    <xf numFmtId="0" fontId="0" fillId="0" borderId="9" xfId="0" applyBorder="1" applyAlignment="1">
      <alignment horizontal="left" vertical="center"/>
    </xf>
    <xf numFmtId="0" fontId="0" fillId="0" borderId="9" xfId="0" applyBorder="1" applyAlignment="1">
      <alignment horizontal="center" vertical="center" wrapText="1"/>
    </xf>
    <xf numFmtId="0" fontId="41" fillId="0" borderId="0" xfId="0" applyFont="1" applyBorder="1" applyAlignment="1">
      <alignment horizontal="left" vertical="center" wrapText="1"/>
    </xf>
    <xf numFmtId="0" fontId="0" fillId="0" borderId="9" xfId="0" applyFill="1" applyBorder="1" applyAlignment="1">
      <alignment horizontal="left" vertical="top" wrapText="1"/>
    </xf>
    <xf numFmtId="0" fontId="37" fillId="0" borderId="16" xfId="0" applyFont="1" applyBorder="1" applyAlignment="1">
      <alignment horizontal="center" vertical="center"/>
    </xf>
    <xf numFmtId="0" fontId="37" fillId="0" borderId="17" xfId="0" applyFont="1" applyBorder="1" applyAlignment="1">
      <alignment horizontal="center" vertical="center"/>
    </xf>
    <xf numFmtId="0" fontId="37" fillId="0" borderId="18" xfId="0" applyFont="1" applyBorder="1" applyAlignment="1">
      <alignment horizontal="center" vertical="center"/>
    </xf>
    <xf numFmtId="0" fontId="29" fillId="0" borderId="8" xfId="0" applyFont="1" applyBorder="1" applyAlignment="1">
      <alignment horizontal="center" vertical="center" wrapText="1"/>
    </xf>
    <xf numFmtId="0" fontId="11" fillId="0" borderId="8" xfId="0" applyFont="1" applyBorder="1" applyAlignment="1">
      <alignment horizontal="center" vertical="center" wrapText="1"/>
    </xf>
    <xf numFmtId="0" fontId="43" fillId="0" borderId="55" xfId="8" applyFont="1" applyFill="1" applyBorder="1" applyAlignment="1">
      <alignment horizontal="center" vertical="center" wrapText="1"/>
    </xf>
    <xf numFmtId="0" fontId="29" fillId="0" borderId="8" xfId="0" applyNumberFormat="1" applyFont="1" applyBorder="1" applyAlignment="1">
      <alignment horizontal="center" vertical="center" wrapText="1"/>
    </xf>
    <xf numFmtId="0" fontId="29" fillId="0" borderId="8" xfId="0" applyFont="1" applyFill="1" applyBorder="1" applyAlignment="1">
      <alignment horizontal="center" vertical="center" wrapText="1"/>
    </xf>
    <xf numFmtId="1" fontId="8" fillId="0" borderId="9" xfId="0" applyNumberFormat="1" applyFont="1" applyFill="1" applyBorder="1" applyAlignment="1">
      <alignment horizontal="center"/>
    </xf>
    <xf numFmtId="0" fontId="44" fillId="0" borderId="9" xfId="0" applyFont="1" applyFill="1" applyBorder="1"/>
    <xf numFmtId="39" fontId="0" fillId="0" borderId="9" xfId="1" applyNumberFormat="1" applyFont="1" applyFill="1" applyBorder="1" applyAlignment="1">
      <alignment horizontal="center"/>
    </xf>
    <xf numFmtId="4" fontId="8" fillId="0" borderId="9" xfId="0" applyNumberFormat="1" applyFont="1" applyFill="1" applyBorder="1" applyAlignment="1">
      <alignment horizontal="center"/>
    </xf>
    <xf numFmtId="2" fontId="0" fillId="0" borderId="9" xfId="0" applyNumberFormat="1" applyFont="1" applyFill="1" applyBorder="1" applyAlignment="1">
      <alignment horizontal="center" vertical="center"/>
    </xf>
    <xf numFmtId="2" fontId="8" fillId="7" borderId="9" xfId="0" applyNumberFormat="1" applyFont="1" applyFill="1" applyBorder="1" applyAlignment="1">
      <alignment horizontal="center" vertical="center"/>
    </xf>
    <xf numFmtId="1" fontId="8" fillId="6" borderId="10" xfId="0" applyNumberFormat="1" applyFont="1" applyFill="1" applyBorder="1" applyAlignment="1">
      <alignment horizontal="center"/>
    </xf>
    <xf numFmtId="1" fontId="8" fillId="6" borderId="14" xfId="0" applyNumberFormat="1" applyFont="1" applyFill="1" applyBorder="1" applyAlignment="1">
      <alignment horizontal="center"/>
    </xf>
    <xf numFmtId="1" fontId="8" fillId="6" borderId="13" xfId="0" applyNumberFormat="1" applyFont="1" applyFill="1" applyBorder="1" applyAlignment="1">
      <alignment horizontal="center"/>
    </xf>
    <xf numFmtId="0" fontId="44" fillId="0" borderId="9" xfId="0" applyFont="1" applyBorder="1"/>
    <xf numFmtId="0" fontId="8" fillId="0" borderId="0" xfId="0" applyNumberFormat="1" applyFont="1"/>
    <xf numFmtId="0" fontId="38" fillId="8" borderId="9" xfId="0" applyFont="1" applyFill="1" applyBorder="1" applyAlignment="1">
      <alignment horizontal="center" wrapText="1"/>
    </xf>
    <xf numFmtId="0" fontId="41" fillId="8" borderId="9" xfId="0" applyFont="1" applyFill="1" applyBorder="1" applyAlignment="1">
      <alignment horizontal="center"/>
    </xf>
    <xf numFmtId="0" fontId="0" fillId="0" borderId="9" xfId="0" applyBorder="1" applyAlignment="1">
      <alignment horizontal="center" vertical="center"/>
    </xf>
    <xf numFmtId="0" fontId="0" fillId="0" borderId="0" xfId="0" applyAlignment="1">
      <alignment horizontal="left"/>
    </xf>
    <xf numFmtId="0" fontId="4" fillId="0" borderId="0" xfId="0" applyFont="1" applyAlignment="1">
      <alignment horizontal="left"/>
    </xf>
    <xf numFmtId="0" fontId="38" fillId="0" borderId="0" xfId="0" applyFont="1"/>
    <xf numFmtId="0" fontId="38" fillId="6" borderId="9" xfId="0" applyFont="1" applyFill="1" applyBorder="1" applyAlignment="1">
      <alignment horizontal="center" wrapText="1"/>
    </xf>
    <xf numFmtId="0" fontId="0" fillId="0" borderId="9" xfId="0" applyBorder="1" applyAlignment="1">
      <alignment horizontal="left" vertical="top" wrapText="1"/>
    </xf>
    <xf numFmtId="0" fontId="10" fillId="0" borderId="4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164" fontId="8" fillId="0" borderId="0" xfId="0" applyNumberFormat="1" applyFont="1" applyAlignment="1">
      <alignment horizontal="right"/>
    </xf>
    <xf numFmtId="0" fontId="8" fillId="0" borderId="0" xfId="0" applyFont="1" applyAlignment="1">
      <alignment horizontal="right"/>
    </xf>
    <xf numFmtId="0" fontId="8" fillId="0" borderId="7" xfId="0" applyFont="1" applyBorder="1" applyAlignment="1">
      <alignment horizontal="left" vertical="top" wrapText="1"/>
    </xf>
    <xf numFmtId="0" fontId="8" fillId="0" borderId="12" xfId="0" applyFont="1" applyBorder="1" applyAlignment="1">
      <alignment horizontal="left" vertical="top" wrapText="1"/>
    </xf>
    <xf numFmtId="0" fontId="8" fillId="0" borderId="0" xfId="0" applyFont="1" applyAlignment="1">
      <alignment horizontal="left" vertical="top" wrapText="1"/>
    </xf>
    <xf numFmtId="0" fontId="8" fillId="0" borderId="0" xfId="0" applyFont="1" applyAlignment="1">
      <alignment horizontal="left" wrapText="1"/>
    </xf>
    <xf numFmtId="0" fontId="8" fillId="0" borderId="0" xfId="0" applyFont="1" applyAlignment="1"/>
    <xf numFmtId="0" fontId="10" fillId="0" borderId="7" xfId="0" applyFont="1" applyBorder="1" applyAlignment="1">
      <alignment horizontal="center" wrapText="1"/>
    </xf>
    <xf numFmtId="0" fontId="10" fillId="0" borderId="12" xfId="0" applyFont="1" applyFill="1" applyBorder="1" applyAlignment="1">
      <alignment horizontal="center" wrapText="1"/>
    </xf>
    <xf numFmtId="0" fontId="10" fillId="0" borderId="0" xfId="0" applyFont="1" applyFill="1" applyBorder="1" applyAlignment="1">
      <alignment horizontal="center" wrapText="1"/>
    </xf>
    <xf numFmtId="0" fontId="8" fillId="0" borderId="7" xfId="0" applyFont="1" applyBorder="1" applyAlignment="1">
      <alignment horizontal="center" wrapText="1"/>
    </xf>
    <xf numFmtId="15" fontId="8" fillId="0" borderId="9" xfId="0" applyNumberFormat="1" applyFont="1" applyBorder="1" applyAlignment="1">
      <alignment horizontal="center" wrapText="1"/>
    </xf>
    <xf numFmtId="2" fontId="8" fillId="0" borderId="9" xfId="0" applyNumberFormat="1" applyFont="1" applyBorder="1" applyAlignment="1">
      <alignment horizontal="center" wrapText="1"/>
    </xf>
    <xf numFmtId="166" fontId="8" fillId="0" borderId="12" xfId="0" applyNumberFormat="1" applyFont="1" applyBorder="1" applyAlignment="1">
      <alignment horizontal="center"/>
    </xf>
    <xf numFmtId="0" fontId="8" fillId="0" borderId="7" xfId="0" applyFont="1" applyBorder="1" applyAlignment="1">
      <alignment horizontal="left" wrapText="1"/>
    </xf>
    <xf numFmtId="166" fontId="8" fillId="0" borderId="0" xfId="0" applyNumberFormat="1" applyFont="1" applyAlignment="1">
      <alignment horizontal="center"/>
    </xf>
    <xf numFmtId="166" fontId="8" fillId="0" borderId="0" xfId="0" applyNumberFormat="1" applyFont="1"/>
    <xf numFmtId="0" fontId="8" fillId="0" borderId="0" xfId="0" applyFont="1" applyAlignment="1">
      <alignment wrapText="1"/>
    </xf>
    <xf numFmtId="15" fontId="10" fillId="0" borderId="9" xfId="0" applyNumberFormat="1" applyFont="1" applyBorder="1" applyAlignment="1">
      <alignment horizontal="center" wrapText="1"/>
    </xf>
    <xf numFmtId="2" fontId="10" fillId="0" borderId="9" xfId="0" applyNumberFormat="1" applyFont="1" applyBorder="1" applyAlignment="1">
      <alignment horizontal="center"/>
    </xf>
    <xf numFmtId="175" fontId="10" fillId="0" borderId="9" xfId="0" applyNumberFormat="1" applyFont="1" applyBorder="1" applyAlignment="1">
      <alignment horizontal="center"/>
    </xf>
    <xf numFmtId="166" fontId="10" fillId="0" borderId="12" xfId="0" applyNumberFormat="1" applyFont="1" applyBorder="1" applyAlignment="1">
      <alignment horizontal="center"/>
    </xf>
    <xf numFmtId="175" fontId="8" fillId="0" borderId="9" xfId="0" applyNumberFormat="1" applyFont="1" applyBorder="1" applyAlignment="1">
      <alignment horizontal="center"/>
    </xf>
    <xf numFmtId="15" fontId="8" fillId="0" borderId="9" xfId="0" applyNumberFormat="1" applyFont="1" applyBorder="1" applyAlignment="1">
      <alignment horizontal="center"/>
    </xf>
    <xf numFmtId="0" fontId="8" fillId="0" borderId="7" xfId="0" applyFont="1" applyFill="1" applyBorder="1" applyAlignment="1">
      <alignment horizontal="left"/>
    </xf>
    <xf numFmtId="0" fontId="8" fillId="0" borderId="42" xfId="0" applyFont="1" applyFill="1" applyBorder="1" applyAlignment="1">
      <alignment horizontal="left"/>
    </xf>
    <xf numFmtId="175" fontId="8" fillId="0" borderId="15" xfId="0" applyNumberFormat="1" applyFont="1" applyBorder="1" applyAlignment="1">
      <alignment horizontal="center"/>
    </xf>
    <xf numFmtId="166" fontId="8" fillId="0" borderId="43" xfId="0" applyNumberFormat="1" applyFont="1" applyBorder="1" applyAlignment="1">
      <alignment horizontal="center"/>
    </xf>
    <xf numFmtId="0" fontId="8" fillId="5" borderId="29" xfId="0" applyFont="1" applyFill="1" applyBorder="1" applyAlignment="1">
      <alignment horizontal="left"/>
    </xf>
    <xf numFmtId="0" fontId="8" fillId="5" borderId="31" xfId="0" applyFont="1" applyFill="1" applyBorder="1"/>
    <xf numFmtId="0" fontId="8" fillId="5" borderId="31" xfId="0" applyFont="1" applyFill="1" applyBorder="1" applyAlignment="1">
      <alignment horizontal="center"/>
    </xf>
    <xf numFmtId="175" fontId="8" fillId="5" borderId="31" xfId="0" applyNumberFormat="1" applyFont="1" applyFill="1" applyBorder="1" applyAlignment="1">
      <alignment horizontal="center"/>
    </xf>
    <xf numFmtId="166" fontId="10" fillId="5" borderId="44" xfId="0" applyNumberFormat="1" applyFont="1" applyFill="1" applyBorder="1" applyAlignment="1">
      <alignment horizontal="center"/>
    </xf>
    <xf numFmtId="0" fontId="47" fillId="0" borderId="41" xfId="0" applyFont="1" applyBorder="1" applyAlignment="1">
      <alignment horizontal="left"/>
    </xf>
    <xf numFmtId="0" fontId="47" fillId="0" borderId="2" xfId="0" applyFont="1" applyBorder="1" applyAlignment="1">
      <alignment horizontal="left"/>
    </xf>
    <xf numFmtId="0" fontId="47" fillId="0" borderId="3" xfId="0" applyFont="1" applyBorder="1" applyAlignment="1">
      <alignment horizontal="left"/>
    </xf>
    <xf numFmtId="166" fontId="8" fillId="0" borderId="10" xfId="0" applyNumberFormat="1" applyFont="1" applyFill="1" applyBorder="1"/>
    <xf numFmtId="9" fontId="8" fillId="0" borderId="9" xfId="0" applyNumberFormat="1" applyFont="1" applyFill="1" applyBorder="1" applyAlignment="1">
      <alignment horizontal="center"/>
    </xf>
    <xf numFmtId="0" fontId="8" fillId="0" borderId="10" xfId="0" applyFont="1" applyBorder="1" applyAlignment="1">
      <alignment horizontal="right" vertical="center"/>
    </xf>
    <xf numFmtId="49" fontId="8" fillId="0" borderId="10" xfId="0" applyNumberFormat="1" applyFont="1" applyBorder="1" applyAlignment="1">
      <alignment horizontal="right" vertical="center"/>
    </xf>
    <xf numFmtId="8" fontId="0" fillId="0" borderId="9" xfId="0" applyNumberFormat="1" applyBorder="1" applyAlignment="1">
      <alignment horizontal="right" vertical="center"/>
    </xf>
    <xf numFmtId="49" fontId="8" fillId="0" borderId="25" xfId="0" applyNumberFormat="1" applyFont="1" applyBorder="1" applyAlignment="1">
      <alignment horizontal="right" vertical="center"/>
    </xf>
    <xf numFmtId="8" fontId="0" fillId="0" borderId="25" xfId="0" applyNumberFormat="1" applyFont="1" applyBorder="1" applyAlignment="1">
      <alignment vertical="center" wrapText="1"/>
    </xf>
    <xf numFmtId="49" fontId="8" fillId="0" borderId="26" xfId="0" applyNumberFormat="1" applyFont="1" applyBorder="1" applyAlignment="1">
      <alignment horizontal="right" vertical="center"/>
    </xf>
    <xf numFmtId="49" fontId="8" fillId="0" borderId="12" xfId="0" applyNumberFormat="1" applyFont="1" applyBorder="1" applyAlignment="1">
      <alignment horizontal="right" vertical="center"/>
    </xf>
    <xf numFmtId="49" fontId="8" fillId="0" borderId="5" xfId="0" applyNumberFormat="1" applyFont="1" applyBorder="1" applyAlignment="1">
      <alignment horizontal="right" vertical="center"/>
    </xf>
    <xf numFmtId="8" fontId="0" fillId="0" borderId="15" xfId="0" applyNumberFormat="1" applyFont="1" applyBorder="1" applyAlignment="1">
      <alignment vertical="center" wrapText="1"/>
    </xf>
    <xf numFmtId="49" fontId="8" fillId="0" borderId="43" xfId="0" applyNumberFormat="1" applyFont="1" applyBorder="1" applyAlignment="1">
      <alignment horizontal="right" vertical="center"/>
    </xf>
    <xf numFmtId="8" fontId="8" fillId="0" borderId="13" xfId="0" applyNumberFormat="1" applyFont="1" applyBorder="1" applyAlignment="1">
      <alignment vertical="center"/>
    </xf>
    <xf numFmtId="176" fontId="0" fillId="0" borderId="9" xfId="0" applyNumberFormat="1" applyFill="1" applyBorder="1" applyAlignment="1">
      <alignment horizontal="right" vertical="center"/>
    </xf>
    <xf numFmtId="0" fontId="8" fillId="0" borderId="33" xfId="0" applyFont="1" applyFill="1" applyBorder="1" applyAlignment="1">
      <alignment horizontal="center" vertical="center"/>
    </xf>
    <xf numFmtId="0" fontId="8" fillId="0" borderId="28" xfId="0" applyFont="1" applyFill="1" applyBorder="1" applyAlignment="1">
      <alignment horizontal="center" vertical="center"/>
    </xf>
    <xf numFmtId="8" fontId="4" fillId="0" borderId="9" xfId="0" applyNumberFormat="1" applyFont="1" applyBorder="1" applyAlignment="1">
      <alignment vertical="center"/>
    </xf>
    <xf numFmtId="8" fontId="0" fillId="0" borderId="9" xfId="0" applyNumberFormat="1" applyBorder="1" applyAlignment="1">
      <alignment horizontal="right" vertical="center" wrapText="1"/>
    </xf>
    <xf numFmtId="0" fontId="0" fillId="0" borderId="9" xfId="0" applyBorder="1" applyAlignment="1">
      <alignment horizontal="right" vertical="center"/>
    </xf>
    <xf numFmtId="0" fontId="8" fillId="0" borderId="9" xfId="0" applyFont="1" applyBorder="1" applyAlignment="1">
      <alignment horizontal="right" vertical="center"/>
    </xf>
    <xf numFmtId="0" fontId="4" fillId="0" borderId="9" xfId="0" applyFont="1" applyBorder="1" applyAlignment="1">
      <alignment horizontal="center"/>
    </xf>
    <xf numFmtId="0" fontId="4" fillId="0" borderId="34" xfId="0" applyFont="1" applyBorder="1" applyAlignment="1">
      <alignment horizontal="right"/>
    </xf>
    <xf numFmtId="0" fontId="4" fillId="0" borderId="35" xfId="0" applyFont="1" applyBorder="1" applyAlignment="1">
      <alignment horizontal="right"/>
    </xf>
    <xf numFmtId="44" fontId="8" fillId="0" borderId="43" xfId="2" applyFont="1" applyBorder="1" applyAlignment="1">
      <alignment horizontal="right" vertical="center"/>
    </xf>
    <xf numFmtId="0" fontId="8" fillId="0" borderId="9" xfId="0" applyNumberFormat="1" applyFont="1" applyFill="1" applyBorder="1" applyAlignment="1">
      <alignment horizontal="center" vertical="center" wrapText="1"/>
    </xf>
    <xf numFmtId="0" fontId="8" fillId="0" borderId="32" xfId="0" applyFont="1" applyFill="1" applyBorder="1" applyAlignment="1">
      <alignment horizontal="center" wrapText="1"/>
    </xf>
    <xf numFmtId="0" fontId="8" fillId="0" borderId="22" xfId="0" applyFont="1" applyFill="1" applyBorder="1" applyAlignment="1">
      <alignment horizontal="center" wrapText="1"/>
    </xf>
    <xf numFmtId="0" fontId="8" fillId="0" borderId="34" xfId="0" applyFont="1" applyFill="1" applyBorder="1" applyAlignment="1">
      <alignment horizontal="center" wrapText="1"/>
    </xf>
    <xf numFmtId="0" fontId="8" fillId="0" borderId="35" xfId="0" applyFont="1" applyFill="1" applyBorder="1" applyAlignment="1">
      <alignment horizontal="center" wrapText="1"/>
    </xf>
    <xf numFmtId="0" fontId="8" fillId="0" borderId="36" xfId="0" applyFont="1" applyFill="1" applyBorder="1" applyAlignment="1">
      <alignment horizontal="center" wrapText="1"/>
    </xf>
    <xf numFmtId="0" fontId="8" fillId="0" borderId="30" xfId="0" applyFont="1" applyFill="1" applyBorder="1" applyAlignment="1">
      <alignment horizontal="center" wrapText="1"/>
    </xf>
    <xf numFmtId="0" fontId="16" fillId="0" borderId="9" xfId="0" applyFont="1" applyFill="1" applyBorder="1" applyAlignment="1">
      <alignment horizontal="left" vertical="top" wrapText="1"/>
    </xf>
    <xf numFmtId="164" fontId="8" fillId="0" borderId="0" xfId="2" applyNumberFormat="1" applyFont="1" applyFill="1" applyBorder="1" applyAlignment="1">
      <alignment horizontal="center" wrapText="1"/>
    </xf>
    <xf numFmtId="164" fontId="8" fillId="0" borderId="0" xfId="0" applyNumberFormat="1" applyFont="1" applyFill="1" applyAlignment="1">
      <alignment horizontal="left" wrapText="1"/>
    </xf>
    <xf numFmtId="3" fontId="0" fillId="0" borderId="0" xfId="0" applyNumberFormat="1" applyFont="1" applyFill="1" applyAlignment="1">
      <alignment horizontal="center" vertical="center"/>
    </xf>
    <xf numFmtId="3" fontId="8" fillId="0" borderId="0" xfId="0" applyNumberFormat="1" applyFont="1" applyFill="1"/>
    <xf numFmtId="3" fontId="8" fillId="0" borderId="0" xfId="0" applyNumberFormat="1" applyFont="1" applyFill="1" applyAlignment="1">
      <alignment wrapText="1"/>
    </xf>
    <xf numFmtId="0" fontId="8" fillId="0" borderId="9" xfId="0" applyFont="1" applyFill="1" applyBorder="1" applyAlignment="1">
      <alignment horizontal="center" vertical="center" wrapText="1"/>
    </xf>
    <xf numFmtId="0" fontId="8" fillId="2" borderId="31" xfId="0" applyFont="1" applyFill="1" applyBorder="1" applyAlignment="1">
      <alignment horizontal="center"/>
    </xf>
    <xf numFmtId="0" fontId="8" fillId="2" borderId="44" xfId="0" applyFont="1" applyFill="1" applyBorder="1" applyAlignment="1">
      <alignment horizontal="center"/>
    </xf>
    <xf numFmtId="0" fontId="0" fillId="0" borderId="15" xfId="0" applyFont="1" applyBorder="1" applyAlignment="1">
      <alignment horizontal="left" vertical="center" wrapText="1"/>
    </xf>
    <xf numFmtId="0" fontId="8" fillId="0" borderId="15" xfId="0" applyFont="1" applyFill="1" applyBorder="1" applyAlignment="1">
      <alignment horizontal="left" vertical="top" wrapText="1"/>
    </xf>
    <xf numFmtId="0" fontId="0" fillId="0" borderId="0" xfId="0" applyFill="1" applyAlignment="1">
      <alignment vertical="center" wrapText="1"/>
    </xf>
    <xf numFmtId="2" fontId="8" fillId="0" borderId="9" xfId="0" applyNumberFormat="1" applyFont="1" applyFill="1" applyBorder="1" applyAlignment="1">
      <alignment horizontal="center" vertical="center" wrapText="1"/>
    </xf>
    <xf numFmtId="0" fontId="0" fillId="0" borderId="33" xfId="0" applyFont="1" applyFill="1" applyBorder="1" applyAlignment="1">
      <alignment horizontal="left" vertical="top" wrapText="1"/>
    </xf>
    <xf numFmtId="0" fontId="0" fillId="0" borderId="0" xfId="0" applyFont="1" applyFill="1" applyBorder="1" applyAlignment="1">
      <alignment vertical="top" wrapText="1"/>
    </xf>
    <xf numFmtId="0" fontId="0" fillId="0" borderId="0" xfId="0" applyFill="1" applyBorder="1" applyAlignment="1">
      <alignment vertical="center"/>
    </xf>
    <xf numFmtId="165" fontId="8" fillId="0" borderId="0" xfId="1" applyNumberFormat="1" applyFont="1" applyFill="1" applyBorder="1" applyAlignment="1">
      <alignment horizontal="center" vertical="center" wrapText="1"/>
    </xf>
    <xf numFmtId="0" fontId="8" fillId="2" borderId="56" xfId="0" applyFont="1" applyFill="1" applyBorder="1" applyAlignment="1">
      <alignment horizontal="center"/>
    </xf>
    <xf numFmtId="0" fontId="8" fillId="2" borderId="57" xfId="0" applyFont="1" applyFill="1" applyBorder="1" applyAlignment="1">
      <alignment horizontal="center"/>
    </xf>
    <xf numFmtId="0" fontId="10" fillId="0" borderId="9" xfId="0" applyFont="1" applyFill="1" applyBorder="1" applyAlignment="1">
      <alignment horizontal="center" vertical="center" wrapText="1"/>
    </xf>
    <xf numFmtId="0" fontId="4" fillId="0" borderId="9" xfId="0" applyFont="1" applyFill="1" applyBorder="1" applyAlignment="1">
      <alignment horizontal="center"/>
    </xf>
    <xf numFmtId="166" fontId="8" fillId="0" borderId="9" xfId="0" applyNumberFormat="1" applyFont="1" applyFill="1" applyBorder="1" applyAlignment="1">
      <alignment horizontal="center" vertical="center"/>
    </xf>
    <xf numFmtId="0" fontId="0" fillId="0" borderId="33" xfId="0" applyFont="1" applyFill="1" applyBorder="1" applyAlignment="1">
      <alignment horizontal="left" wrapText="1"/>
    </xf>
    <xf numFmtId="0" fontId="12" fillId="0" borderId="0" xfId="0" applyFont="1" applyFill="1" applyAlignment="1">
      <alignment vertical="center"/>
    </xf>
    <xf numFmtId="0" fontId="8" fillId="0" borderId="19" xfId="0" applyFont="1" applyFill="1" applyBorder="1" applyAlignment="1">
      <alignment horizontal="center" wrapText="1"/>
    </xf>
    <xf numFmtId="0" fontId="8" fillId="0" borderId="9" xfId="0" applyFont="1" applyBorder="1" applyAlignment="1"/>
    <xf numFmtId="165" fontId="8" fillId="0" borderId="33" xfId="1" applyNumberFormat="1" applyFont="1" applyFill="1" applyBorder="1" applyAlignment="1"/>
    <xf numFmtId="2" fontId="8" fillId="0" borderId="9" xfId="0" applyNumberFormat="1" applyFont="1" applyFill="1" applyBorder="1" applyAlignment="1">
      <alignment vertical="center" wrapText="1"/>
    </xf>
    <xf numFmtId="0" fontId="8" fillId="0" borderId="10" xfId="0" applyNumberFormat="1" applyFont="1" applyFill="1" applyBorder="1" applyAlignment="1">
      <alignment vertical="center" wrapText="1"/>
    </xf>
    <xf numFmtId="0" fontId="8" fillId="0" borderId="13" xfId="0" applyNumberFormat="1" applyFont="1" applyFill="1" applyBorder="1" applyAlignment="1">
      <alignment vertical="center" wrapText="1"/>
    </xf>
    <xf numFmtId="0" fontId="0" fillId="0" borderId="33" xfId="0" applyFill="1" applyBorder="1" applyAlignment="1">
      <alignment vertical="top" wrapText="1"/>
    </xf>
    <xf numFmtId="37" fontId="0" fillId="0" borderId="14" xfId="1" applyNumberFormat="1" applyFont="1" applyFill="1" applyBorder="1" applyAlignment="1">
      <alignment vertical="center"/>
    </xf>
    <xf numFmtId="0" fontId="0" fillId="0" borderId="0" xfId="0" applyFont="1" applyFill="1" applyAlignment="1">
      <alignment vertical="top" wrapText="1"/>
    </xf>
    <xf numFmtId="167" fontId="13" fillId="0" borderId="0" xfId="0" applyNumberFormat="1" applyFont="1" applyFill="1" applyAlignment="1">
      <alignment horizontal="right" vertical="top"/>
    </xf>
    <xf numFmtId="167" fontId="0" fillId="0" borderId="0" xfId="0" applyNumberFormat="1" applyFill="1"/>
    <xf numFmtId="0" fontId="0" fillId="0" borderId="0" xfId="0" applyFill="1" applyBorder="1" applyAlignment="1">
      <alignment horizontal="center" vertical="center" wrapText="1"/>
    </xf>
    <xf numFmtId="8" fontId="0" fillId="0" borderId="0" xfId="0" applyNumberFormat="1" applyFill="1" applyBorder="1" applyAlignment="1">
      <alignment horizontal="center"/>
    </xf>
    <xf numFmtId="8" fontId="0" fillId="0" borderId="0" xfId="0" applyNumberFormat="1" applyFill="1"/>
    <xf numFmtId="44" fontId="0" fillId="0" borderId="0" xfId="2" applyFont="1" applyFill="1" applyAlignment="1">
      <alignment wrapText="1"/>
    </xf>
    <xf numFmtId="0" fontId="21" fillId="0" borderId="0" xfId="0" applyFont="1" applyFill="1" applyAlignment="1">
      <alignment horizontal="center" wrapText="1"/>
    </xf>
    <xf numFmtId="0" fontId="11" fillId="0" borderId="33" xfId="0" applyFont="1" applyFill="1" applyBorder="1" applyAlignment="1">
      <alignment horizontal="center" wrapText="1"/>
    </xf>
    <xf numFmtId="0" fontId="0" fillId="0" borderId="0" xfId="0" applyFill="1" applyAlignment="1">
      <alignment horizontal="center" vertical="center"/>
    </xf>
    <xf numFmtId="43" fontId="0" fillId="0" borderId="0" xfId="1" applyFont="1" applyFill="1" applyAlignment="1">
      <alignment horizontal="center"/>
    </xf>
    <xf numFmtId="44" fontId="0" fillId="0" borderId="0" xfId="0" applyNumberFormat="1" applyFill="1" applyAlignment="1"/>
    <xf numFmtId="44" fontId="0" fillId="0" borderId="0" xfId="2" applyFont="1" applyFill="1" applyAlignment="1">
      <alignment horizontal="center"/>
    </xf>
    <xf numFmtId="0" fontId="4" fillId="0" borderId="38" xfId="0" applyFont="1" applyFill="1" applyBorder="1" applyAlignment="1">
      <alignment horizontal="center"/>
    </xf>
    <xf numFmtId="164" fontId="17" fillId="0" borderId="0" xfId="0" applyNumberFormat="1" applyFont="1" applyFill="1" applyAlignment="1"/>
    <xf numFmtId="0" fontId="0" fillId="0" borderId="7" xfId="0" applyFill="1" applyBorder="1" applyAlignment="1">
      <alignment horizontal="center"/>
    </xf>
    <xf numFmtId="0" fontId="0" fillId="0" borderId="4" xfId="0" applyFill="1" applyBorder="1" applyAlignment="1">
      <alignment horizontal="center"/>
    </xf>
    <xf numFmtId="164" fontId="17" fillId="0" borderId="0" xfId="2" applyNumberFormat="1" applyFont="1" applyFill="1" applyBorder="1" applyAlignment="1">
      <alignment horizontal="right"/>
    </xf>
    <xf numFmtId="164" fontId="26" fillId="0" borderId="0" xfId="2" applyNumberFormat="1" applyFont="1" applyFill="1" applyBorder="1" applyAlignment="1">
      <alignment horizontal="right"/>
    </xf>
    <xf numFmtId="164" fontId="0" fillId="0" borderId="0" xfId="0" applyNumberFormat="1" applyFont="1" applyFill="1" applyAlignment="1">
      <alignment horizontal="center" vertical="center" wrapText="1"/>
    </xf>
    <xf numFmtId="164" fontId="17" fillId="0" borderId="0" xfId="0" applyNumberFormat="1" applyFont="1" applyFill="1" applyAlignment="1">
      <alignment wrapText="1"/>
    </xf>
    <xf numFmtId="15" fontId="4" fillId="0" borderId="0" xfId="0" applyNumberFormat="1" applyFont="1" applyFill="1" applyAlignment="1">
      <alignment horizontal="center"/>
    </xf>
    <xf numFmtId="164" fontId="17" fillId="0" borderId="0" xfId="0" applyNumberFormat="1" applyFont="1" applyFill="1" applyBorder="1"/>
    <xf numFmtId="0" fontId="4" fillId="0" borderId="0" xfId="0" applyFont="1" applyFill="1" applyBorder="1" applyAlignment="1">
      <alignment horizontal="center"/>
    </xf>
    <xf numFmtId="0" fontId="0" fillId="0" borderId="33" xfId="0" applyFill="1" applyBorder="1" applyAlignment="1">
      <alignment horizontal="center"/>
    </xf>
    <xf numFmtId="0" fontId="8" fillId="0" borderId="0" xfId="0" quotePrefix="1" applyFont="1" applyFill="1" applyBorder="1" applyAlignment="1">
      <alignment vertical="top" wrapText="1"/>
    </xf>
    <xf numFmtId="0" fontId="8" fillId="0" borderId="33" xfId="0" quotePrefix="1" applyFont="1" applyFill="1" applyBorder="1" applyAlignment="1">
      <alignment vertical="top" wrapText="1"/>
    </xf>
    <xf numFmtId="0" fontId="0" fillId="0" borderId="33" xfId="0" applyFill="1" applyBorder="1"/>
    <xf numFmtId="0" fontId="0" fillId="0" borderId="33" xfId="0" applyFill="1" applyBorder="1" applyAlignment="1"/>
    <xf numFmtId="164" fontId="8" fillId="0" borderId="0" xfId="0" applyNumberFormat="1" applyFont="1" applyFill="1" applyBorder="1" applyAlignment="1">
      <alignment horizontal="center"/>
    </xf>
    <xf numFmtId="0" fontId="4" fillId="0" borderId="0" xfId="0" applyFont="1" applyFill="1" applyBorder="1" applyAlignment="1">
      <alignment horizontal="center" vertical="center"/>
    </xf>
    <xf numFmtId="0" fontId="4" fillId="0" borderId="33" xfId="0" applyFont="1" applyFill="1" applyBorder="1" applyAlignment="1">
      <alignment horizontal="center" vertical="center" wrapText="1"/>
    </xf>
    <xf numFmtId="0" fontId="17" fillId="0" borderId="33" xfId="0" applyFont="1" applyFill="1" applyBorder="1" applyAlignment="1">
      <alignment horizontal="left" vertical="top" wrapText="1"/>
    </xf>
    <xf numFmtId="0" fontId="17" fillId="0" borderId="0" xfId="0" applyFont="1" applyFill="1" applyAlignment="1">
      <alignment horizontal="left" vertical="top" wrapText="1"/>
    </xf>
    <xf numFmtId="9" fontId="0" fillId="0" borderId="0" xfId="3" applyFont="1" applyFill="1" applyBorder="1" applyAlignment="1"/>
    <xf numFmtId="9" fontId="0" fillId="0" borderId="0" xfId="3" applyFont="1" applyFill="1" applyAlignment="1">
      <alignment vertical="center"/>
    </xf>
    <xf numFmtId="44" fontId="0" fillId="0" borderId="0" xfId="0" applyNumberFormat="1" applyFill="1" applyAlignment="1">
      <alignment horizontal="left" vertical="center" wrapText="1"/>
    </xf>
    <xf numFmtId="0" fontId="0" fillId="0" borderId="0" xfId="0" applyFill="1" applyBorder="1" applyAlignment="1">
      <alignment horizontal="center" vertical="center"/>
    </xf>
    <xf numFmtId="0" fontId="17" fillId="0" borderId="0" xfId="0" applyFont="1" applyFill="1" applyAlignment="1">
      <alignment horizontal="left"/>
    </xf>
    <xf numFmtId="0" fontId="17" fillId="0" borderId="0" xfId="0" applyFont="1" applyFill="1" applyBorder="1" applyAlignment="1">
      <alignment vertical="center"/>
    </xf>
    <xf numFmtId="0" fontId="17" fillId="0" borderId="0" xfId="0" applyFont="1" applyFill="1" applyAlignment="1">
      <alignment wrapText="1"/>
    </xf>
    <xf numFmtId="180" fontId="8" fillId="0" borderId="0" xfId="2" applyNumberFormat="1" applyFont="1" applyFill="1"/>
    <xf numFmtId="0" fontId="17" fillId="0" borderId="0" xfId="0" applyFont="1" applyFill="1" applyBorder="1" applyAlignment="1">
      <alignment vertical="center" wrapText="1"/>
    </xf>
    <xf numFmtId="0" fontId="0" fillId="0" borderId="33" xfId="0" applyFont="1" applyFill="1" applyBorder="1" applyAlignment="1">
      <alignment vertical="center"/>
    </xf>
    <xf numFmtId="0" fontId="0" fillId="0" borderId="0" xfId="0" applyFont="1" applyFill="1" applyBorder="1" applyAlignment="1">
      <alignment vertical="center"/>
    </xf>
    <xf numFmtId="0" fontId="0" fillId="0" borderId="0" xfId="0" applyFont="1" applyFill="1" applyBorder="1" applyAlignment="1">
      <alignment vertical="center" wrapText="1"/>
    </xf>
    <xf numFmtId="0" fontId="0" fillId="0" borderId="33" xfId="0" applyFill="1" applyBorder="1" applyAlignment="1">
      <alignment vertical="center"/>
    </xf>
    <xf numFmtId="0" fontId="0" fillId="0" borderId="33" xfId="0" applyFill="1" applyBorder="1" applyAlignment="1">
      <alignment vertical="center" wrapText="1"/>
    </xf>
    <xf numFmtId="0" fontId="0" fillId="0" borderId="0" xfId="0" applyFill="1" applyBorder="1" applyAlignment="1">
      <alignment vertical="center" wrapText="1"/>
    </xf>
    <xf numFmtId="0" fontId="0" fillId="0" borderId="33" xfId="0" applyFill="1" applyBorder="1" applyAlignment="1">
      <alignment wrapText="1"/>
    </xf>
    <xf numFmtId="0" fontId="5" fillId="0" borderId="33" xfId="0" applyFont="1" applyFill="1" applyBorder="1" applyAlignment="1">
      <alignment vertical="top" wrapText="1"/>
    </xf>
    <xf numFmtId="0" fontId="5" fillId="0" borderId="0" xfId="0" applyFont="1" applyFill="1" applyBorder="1" applyAlignment="1">
      <alignment vertical="top" wrapText="1"/>
    </xf>
    <xf numFmtId="164" fontId="8" fillId="0" borderId="33" xfId="0" applyNumberFormat="1" applyFont="1" applyFill="1" applyBorder="1" applyAlignment="1">
      <alignment vertical="top" wrapText="1"/>
    </xf>
    <xf numFmtId="164" fontId="8" fillId="0" borderId="0" xfId="0" applyNumberFormat="1" applyFont="1" applyFill="1" applyBorder="1" applyAlignment="1">
      <alignment vertical="top" wrapText="1"/>
    </xf>
    <xf numFmtId="164" fontId="0" fillId="0" borderId="33" xfId="0" applyNumberFormat="1" applyFont="1" applyFill="1" applyBorder="1" applyAlignment="1">
      <alignment vertical="center" wrapText="1"/>
    </xf>
    <xf numFmtId="164" fontId="0" fillId="0" borderId="33" xfId="0" applyNumberFormat="1" applyFont="1" applyFill="1" applyBorder="1" applyAlignment="1">
      <alignment vertical="center"/>
    </xf>
    <xf numFmtId="164" fontId="8" fillId="0" borderId="33" xfId="0" applyNumberFormat="1" applyFont="1" applyFill="1" applyBorder="1" applyAlignment="1">
      <alignment wrapText="1"/>
    </xf>
    <xf numFmtId="164" fontId="0" fillId="0" borderId="33" xfId="0" applyNumberFormat="1" applyFont="1" applyFill="1" applyBorder="1" applyAlignment="1">
      <alignment wrapText="1"/>
    </xf>
    <xf numFmtId="3" fontId="0" fillId="0" borderId="33" xfId="0" applyNumberFormat="1" applyFont="1" applyFill="1" applyBorder="1" applyAlignment="1">
      <alignment vertical="top" wrapText="1"/>
    </xf>
    <xf numFmtId="164" fontId="0" fillId="0" borderId="33" xfId="0" applyNumberFormat="1" applyFont="1" applyFill="1" applyBorder="1" applyAlignment="1"/>
    <xf numFmtId="44" fontId="0" fillId="0" borderId="33" xfId="0" applyNumberFormat="1" applyFill="1" applyBorder="1" applyAlignment="1">
      <alignment vertical="center" wrapText="1"/>
    </xf>
    <xf numFmtId="44" fontId="0" fillId="0" borderId="0" xfId="0" applyNumberFormat="1" applyFill="1" applyBorder="1" applyAlignment="1">
      <alignment vertical="center" wrapText="1"/>
    </xf>
    <xf numFmtId="44" fontId="0" fillId="0" borderId="33" xfId="0" applyNumberFormat="1" applyFill="1" applyBorder="1" applyAlignment="1">
      <alignment vertical="top" wrapText="1"/>
    </xf>
    <xf numFmtId="44" fontId="0" fillId="0" borderId="0" xfId="0" applyNumberFormat="1" applyFill="1" applyBorder="1" applyAlignment="1">
      <alignment vertical="top" wrapText="1"/>
    </xf>
    <xf numFmtId="0" fontId="17" fillId="0" borderId="33" xfId="0" applyFont="1" applyFill="1" applyBorder="1" applyAlignment="1">
      <alignment vertical="top"/>
    </xf>
    <xf numFmtId="0" fontId="19" fillId="0" borderId="33" xfId="0" applyFont="1" applyFill="1" applyBorder="1" applyAlignment="1">
      <alignment wrapText="1"/>
    </xf>
    <xf numFmtId="0" fontId="0" fillId="0" borderId="33" xfId="0" applyFill="1" applyBorder="1" applyAlignment="1">
      <alignment vertical="top"/>
    </xf>
    <xf numFmtId="0" fontId="4" fillId="0" borderId="33" xfId="0" applyFont="1" applyFill="1" applyBorder="1" applyAlignment="1">
      <alignment wrapText="1"/>
    </xf>
    <xf numFmtId="0" fontId="5" fillId="0" borderId="33" xfId="0" applyFont="1" applyFill="1" applyBorder="1" applyAlignment="1">
      <alignment vertical="center" wrapText="1"/>
    </xf>
    <xf numFmtId="0" fontId="8" fillId="0" borderId="0" xfId="0" applyFont="1" applyFill="1" applyBorder="1" applyAlignment="1">
      <alignment vertical="center"/>
    </xf>
    <xf numFmtId="0" fontId="0" fillId="0" borderId="27" xfId="0" applyFill="1" applyBorder="1" applyAlignment="1"/>
    <xf numFmtId="0" fontId="0" fillId="0" borderId="27" xfId="0" applyFill="1" applyBorder="1" applyAlignment="1">
      <alignment wrapText="1"/>
    </xf>
    <xf numFmtId="0" fontId="17" fillId="0" borderId="0" xfId="0" applyFont="1" applyFill="1" applyBorder="1" applyAlignment="1">
      <alignment vertical="top"/>
    </xf>
    <xf numFmtId="0" fontId="19" fillId="0" borderId="0" xfId="0" applyFont="1" applyFill="1" applyBorder="1" applyAlignment="1">
      <alignment wrapText="1"/>
    </xf>
    <xf numFmtId="0" fontId="0" fillId="0" borderId="0" xfId="0" applyFill="1" applyBorder="1" applyAlignment="1">
      <alignment vertical="top"/>
    </xf>
    <xf numFmtId="0" fontId="4" fillId="0" borderId="0" xfId="0" applyFont="1" applyFill="1" applyBorder="1" applyAlignment="1">
      <alignment wrapText="1"/>
    </xf>
    <xf numFmtId="0" fontId="5" fillId="0" borderId="0" xfId="0" applyFont="1" applyFill="1" applyBorder="1" applyAlignment="1">
      <alignment vertical="center" wrapText="1"/>
    </xf>
    <xf numFmtId="0" fontId="0" fillId="0" borderId="0" xfId="0" applyFont="1" applyBorder="1" applyAlignment="1"/>
    <xf numFmtId="0" fontId="0" fillId="0" borderId="0" xfId="0" applyBorder="1" applyAlignment="1">
      <alignment horizontal="right"/>
    </xf>
    <xf numFmtId="0" fontId="0" fillId="0" borderId="27" xfId="0" applyFill="1" applyBorder="1" applyAlignment="1">
      <alignment vertical="center"/>
    </xf>
    <xf numFmtId="164" fontId="0" fillId="0" borderId="0" xfId="0" applyNumberFormat="1" applyFont="1" applyFill="1" applyBorder="1" applyAlignment="1">
      <alignment vertical="center" wrapText="1"/>
    </xf>
    <xf numFmtId="164" fontId="0" fillId="0" borderId="0" xfId="0" applyNumberFormat="1" applyFont="1" applyFill="1" applyBorder="1" applyAlignment="1">
      <alignment vertical="center"/>
    </xf>
    <xf numFmtId="164" fontId="8" fillId="0" borderId="0" xfId="0" applyNumberFormat="1" applyFont="1" applyFill="1" applyBorder="1" applyAlignment="1">
      <alignment wrapText="1"/>
    </xf>
    <xf numFmtId="164" fontId="0" fillId="0" borderId="0" xfId="0" applyNumberFormat="1" applyFont="1" applyFill="1" applyBorder="1" applyAlignment="1">
      <alignment wrapText="1"/>
    </xf>
    <xf numFmtId="3" fontId="0" fillId="0" borderId="0" xfId="0" applyNumberFormat="1" applyFont="1" applyFill="1" applyBorder="1" applyAlignment="1">
      <alignment vertical="top" wrapText="1"/>
    </xf>
    <xf numFmtId="164" fontId="0" fillId="0" borderId="0" xfId="0" applyNumberFormat="1" applyFont="1" applyFill="1" applyBorder="1" applyAlignment="1"/>
    <xf numFmtId="0" fontId="4" fillId="0" borderId="37" xfId="0" applyFont="1" applyFill="1" applyBorder="1" applyAlignment="1">
      <alignment horizontal="center" vertical="center" wrapText="1"/>
    </xf>
    <xf numFmtId="0" fontId="10" fillId="0" borderId="8" xfId="0" applyFont="1" applyBorder="1" applyAlignment="1">
      <alignment horizontal="right" vertical="center"/>
    </xf>
    <xf numFmtId="0" fontId="10" fillId="0" borderId="8" xfId="0" applyFont="1" applyBorder="1" applyAlignment="1">
      <alignment horizontal="center" vertical="center"/>
    </xf>
    <xf numFmtId="8" fontId="8" fillId="0" borderId="1" xfId="0" applyNumberFormat="1" applyFont="1" applyBorder="1" applyAlignment="1">
      <alignment horizontal="center" vertical="center"/>
    </xf>
    <xf numFmtId="168" fontId="8" fillId="0" borderId="9" xfId="0" applyNumberFormat="1" applyFont="1" applyFill="1" applyBorder="1" applyAlignment="1">
      <alignment horizontal="right" vertical="center"/>
    </xf>
    <xf numFmtId="8" fontId="8" fillId="0" borderId="8" xfId="2" applyNumberFormat="1" applyFont="1" applyFill="1" applyBorder="1"/>
    <xf numFmtId="4" fontId="8" fillId="0" borderId="8" xfId="0" applyNumberFormat="1" applyFont="1" applyBorder="1" applyAlignment="1">
      <alignment vertical="center" wrapText="1"/>
    </xf>
    <xf numFmtId="44" fontId="8" fillId="0" borderId="9" xfId="2" applyFont="1" applyBorder="1" applyAlignment="1">
      <alignment horizontal="right" vertical="center"/>
    </xf>
    <xf numFmtId="0" fontId="0" fillId="0" borderId="0" xfId="0" applyFont="1" applyFill="1" applyAlignment="1">
      <alignment horizontal="left" vertical="center"/>
    </xf>
    <xf numFmtId="0" fontId="0" fillId="0" borderId="0" xfId="0" applyFont="1" applyFill="1" applyAlignment="1">
      <alignment vertical="center"/>
    </xf>
    <xf numFmtId="0" fontId="10" fillId="0" borderId="10" xfId="0" applyFont="1" applyFill="1" applyBorder="1" applyAlignment="1">
      <alignment horizontal="left" vertical="center"/>
    </xf>
    <xf numFmtId="0" fontId="10" fillId="0" borderId="13" xfId="0" applyFont="1" applyFill="1" applyBorder="1" applyAlignment="1">
      <alignment horizontal="left" vertical="center"/>
    </xf>
    <xf numFmtId="44" fontId="8" fillId="0" borderId="9" xfId="2" applyFont="1" applyBorder="1" applyAlignment="1">
      <alignment horizontal="right" vertical="center" wrapText="1"/>
    </xf>
    <xf numFmtId="44" fontId="8" fillId="0" borderId="9" xfId="2" applyFont="1" applyBorder="1" applyAlignment="1">
      <alignment vertical="center"/>
    </xf>
    <xf numFmtId="44" fontId="8" fillId="0" borderId="9" xfId="2" applyFont="1" applyBorder="1" applyAlignment="1"/>
    <xf numFmtId="0" fontId="8" fillId="0" borderId="15" xfId="0" applyFont="1" applyBorder="1" applyAlignment="1">
      <alignment horizontal="right"/>
    </xf>
    <xf numFmtId="8" fontId="8" fillId="0" borderId="9" xfId="0" applyNumberFormat="1" applyFont="1" applyBorder="1" applyAlignment="1">
      <alignment horizontal="right" vertical="top"/>
    </xf>
    <xf numFmtId="8" fontId="8" fillId="0" borderId="13" xfId="0" applyNumberFormat="1" applyFont="1" applyBorder="1" applyAlignment="1">
      <alignment horizontal="right" vertical="center" wrapText="1"/>
    </xf>
    <xf numFmtId="8" fontId="8" fillId="0" borderId="9" xfId="0" applyNumberFormat="1" applyFont="1" applyBorder="1" applyAlignment="1">
      <alignment horizontal="right"/>
    </xf>
    <xf numFmtId="164" fontId="8" fillId="0" borderId="9" xfId="0" applyNumberFormat="1" applyFont="1" applyFill="1" applyBorder="1" applyAlignment="1">
      <alignment horizontal="right" vertical="center"/>
    </xf>
    <xf numFmtId="8" fontId="0" fillId="0" borderId="9" xfId="0" applyNumberFormat="1" applyFill="1" applyBorder="1" applyAlignment="1">
      <alignment vertical="center" wrapText="1"/>
    </xf>
    <xf numFmtId="8" fontId="8" fillId="0" borderId="9" xfId="0" applyNumberFormat="1" applyFont="1" applyFill="1" applyBorder="1" applyAlignment="1">
      <alignment horizontal="right" vertical="center"/>
    </xf>
    <xf numFmtId="0" fontId="8" fillId="0" borderId="22" xfId="0" applyFont="1" applyBorder="1"/>
    <xf numFmtId="0" fontId="8" fillId="0" borderId="56" xfId="0" applyFont="1" applyBorder="1" applyAlignment="1">
      <alignment horizontal="center" vertical="center"/>
    </xf>
    <xf numFmtId="0" fontId="8" fillId="0" borderId="0" xfId="0" applyFont="1" applyBorder="1" applyAlignment="1">
      <alignment horizontal="center" vertical="center"/>
    </xf>
    <xf numFmtId="0" fontId="8" fillId="0" borderId="31" xfId="0" applyFont="1" applyBorder="1" applyAlignment="1">
      <alignment horizontal="center" vertical="center"/>
    </xf>
    <xf numFmtId="0" fontId="8" fillId="0" borderId="9" xfId="0" applyFont="1" applyFill="1" applyBorder="1" applyAlignment="1">
      <alignment vertical="top" wrapText="1"/>
    </xf>
    <xf numFmtId="0" fontId="8" fillId="0" borderId="15" xfId="0" applyFont="1" applyFill="1" applyBorder="1" applyAlignment="1">
      <alignment vertical="top" wrapText="1"/>
    </xf>
    <xf numFmtId="0" fontId="8" fillId="0" borderId="28" xfId="0" applyFont="1" applyBorder="1"/>
    <xf numFmtId="169" fontId="5" fillId="0" borderId="23" xfId="0" applyNumberFormat="1" applyFont="1" applyBorder="1"/>
    <xf numFmtId="0" fontId="10" fillId="0" borderId="15" xfId="0" applyFont="1" applyFill="1" applyBorder="1"/>
    <xf numFmtId="44" fontId="10" fillId="0" borderId="15" xfId="2" applyFont="1" applyBorder="1"/>
  </cellXfs>
  <cellStyles count="9">
    <cellStyle name="Comma" xfId="1" builtinId="3"/>
    <cellStyle name="Currency" xfId="2" builtinId="4"/>
    <cellStyle name="Hyperlink" xfId="7" builtinId="8"/>
    <cellStyle name="Normal" xfId="0" builtinId="0"/>
    <cellStyle name="Normal 6 3" xfId="6" xr:uid="{EEFDF5E3-7061-4BE1-A655-5E9B39C5B10B}"/>
    <cellStyle name="Normal_cost factors v5" xfId="4" xr:uid="{7DE4B25D-8254-423C-B276-300477A49D35}"/>
    <cellStyle name="Normal_Sheet1" xfId="5" xr:uid="{C12D5376-4B34-4422-BC83-08AA842FF15D}"/>
    <cellStyle name="Normal_Sheet1 2" xfId="8" xr:uid="{1992F5BA-73BF-4F83-A45A-331E6AB74877}"/>
    <cellStyle name="Percent" xfId="3" builtinId="5"/>
  </cellStyles>
  <dxfs count="18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152400</xdr:colOff>
          <xdr:row>675</xdr:row>
          <xdr:rowOff>152400</xdr:rowOff>
        </xdr:from>
        <xdr:to>
          <xdr:col>1</xdr:col>
          <xdr:colOff>152400</xdr:colOff>
          <xdr:row>677</xdr:row>
          <xdr:rowOff>238125</xdr:rowOff>
        </xdr:to>
        <xdr:sp macro="" textlink="">
          <xdr:nvSpPr>
            <xdr:cNvPr id="3073" name="Object 1" descr="FAC 1511 Study" hidden="1">
              <a:extLst>
                <a:ext uri="{63B3BB69-23CF-44E3-9099-C40C66FF867C}">
                  <a14:compatExt spid="_x0000_s3073"/>
                </a:ext>
                <a:ext uri="{FF2B5EF4-FFF2-40B4-BE49-F238E27FC236}">
                  <a16:creationId xmlns:a16="http://schemas.microsoft.com/office/drawing/2014/main" id="{AB29A63C-726D-4B6F-9AC4-08E6FE81BF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152400</xdr:colOff>
          <xdr:row>684</xdr:row>
          <xdr:rowOff>152400</xdr:rowOff>
        </xdr:from>
        <xdr:to>
          <xdr:col>1</xdr:col>
          <xdr:colOff>152400</xdr:colOff>
          <xdr:row>686</xdr:row>
          <xdr:rowOff>238125</xdr:rowOff>
        </xdr:to>
        <xdr:sp macro="" textlink="">
          <xdr:nvSpPr>
            <xdr:cNvPr id="3074" name="Object 2" descr="FAC 1511 Study" hidden="1">
              <a:extLst>
                <a:ext uri="{63B3BB69-23CF-44E3-9099-C40C66FF867C}">
                  <a14:compatExt spid="_x0000_s3074"/>
                </a:ext>
                <a:ext uri="{FF2B5EF4-FFF2-40B4-BE49-F238E27FC236}">
                  <a16:creationId xmlns:a16="http://schemas.microsoft.com/office/drawing/2014/main" id="{BD3D63F8-DED7-4489-BDC0-90828AE614C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495300</xdr:colOff>
          <xdr:row>1627</xdr:row>
          <xdr:rowOff>257175</xdr:rowOff>
        </xdr:from>
        <xdr:to>
          <xdr:col>1</xdr:col>
          <xdr:colOff>495300</xdr:colOff>
          <xdr:row>1629</xdr:row>
          <xdr:rowOff>180975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9139AC7B-0601-4DA0-AADF-F2F41356DA9E}"/>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485775</xdr:colOff>
          <xdr:row>4841</xdr:row>
          <xdr:rowOff>38100</xdr:rowOff>
        </xdr:from>
        <xdr:to>
          <xdr:col>3</xdr:col>
          <xdr:colOff>790575</xdr:colOff>
          <xdr:row>4842</xdr:row>
          <xdr:rowOff>342900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DD91DDB5-1555-4671-AB00-758E22CC6AC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0</xdr:col>
      <xdr:colOff>95250</xdr:colOff>
      <xdr:row>449</xdr:row>
      <xdr:rowOff>981808</xdr:rowOff>
    </xdr:from>
    <xdr:to>
      <xdr:col>9</xdr:col>
      <xdr:colOff>760527</xdr:colOff>
      <xdr:row>449</xdr:row>
      <xdr:rowOff>4372284</xdr:rowOff>
    </xdr:to>
    <xdr:pic>
      <xdr:nvPicPr>
        <xdr:cNvPr id="6" name="Picture 5">
          <a:extLst>
            <a:ext uri="{FF2B5EF4-FFF2-40B4-BE49-F238E27FC236}">
              <a16:creationId xmlns:a16="http://schemas.microsoft.com/office/drawing/2014/main" id="{90F5C27F-6CDF-4B2E-B0AA-5FC06F8B9939}"/>
            </a:ext>
          </a:extLst>
        </xdr:cNvPr>
        <xdr:cNvPicPr>
          <a:picLocks noChangeAspect="1"/>
        </xdr:cNvPicPr>
      </xdr:nvPicPr>
      <xdr:blipFill>
        <a:blip xmlns:r="http://schemas.openxmlformats.org/officeDocument/2006/relationships" r:embed="rId1"/>
        <a:stretch>
          <a:fillRect/>
        </a:stretch>
      </xdr:blipFill>
      <xdr:spPr>
        <a:xfrm>
          <a:off x="95250" y="173574808"/>
          <a:ext cx="10715017" cy="3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37181</xdr:colOff>
      <xdr:row>44</xdr:row>
      <xdr:rowOff>37048</xdr:rowOff>
    </xdr:to>
    <xdr:pic>
      <xdr:nvPicPr>
        <xdr:cNvPr id="2" name="Picture 1">
          <a:extLst>
            <a:ext uri="{FF2B5EF4-FFF2-40B4-BE49-F238E27FC236}">
              <a16:creationId xmlns:a16="http://schemas.microsoft.com/office/drawing/2014/main" id="{650AEB88-E662-4042-AB67-536C0EF0739E}"/>
            </a:ext>
          </a:extLst>
        </xdr:cNvPr>
        <xdr:cNvPicPr>
          <a:picLocks noChangeAspect="1"/>
        </xdr:cNvPicPr>
      </xdr:nvPicPr>
      <xdr:blipFill>
        <a:blip xmlns:r="http://schemas.openxmlformats.org/officeDocument/2006/relationships" r:embed="rId1"/>
        <a:stretch>
          <a:fillRect/>
        </a:stretch>
      </xdr:blipFill>
      <xdr:spPr>
        <a:xfrm>
          <a:off x="0" y="0"/>
          <a:ext cx="7352381" cy="84190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381000</xdr:colOff>
          <xdr:row>8</xdr:row>
          <xdr:rowOff>57150</xdr:rowOff>
        </xdr:from>
        <xdr:to>
          <xdr:col>0</xdr:col>
          <xdr:colOff>1295400</xdr:colOff>
          <xdr:row>8</xdr:row>
          <xdr:rowOff>742950</xdr:rowOff>
        </xdr:to>
        <xdr:sp macro="" textlink="">
          <xdr:nvSpPr>
            <xdr:cNvPr id="6145" name="Object 1" hidden="1">
              <a:extLst>
                <a:ext uri="{63B3BB69-23CF-44E3-9099-C40C66FF867C}">
                  <a14:compatExt spid="_x0000_s6145"/>
                </a:ext>
                <a:ext uri="{FF2B5EF4-FFF2-40B4-BE49-F238E27FC236}">
                  <a16:creationId xmlns:a16="http://schemas.microsoft.com/office/drawing/2014/main" id="{8E11E091-D213-446F-91D7-39DD3F634CD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calese/Desktop/FSM/FSM%20v19/v19%20RUCs/FY17%20Audit%20Ready%20RUCs/Table%203%20FY17%20SPECIAL%20v19%20RUC%20Work%20Plan%20as%20of%2031%20May%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arzt/Desktop/FSM/FSM%20v20/2018%20RUCs/FY%2017%20RUC%20Documentation/FY17%20RUC%20Supporting%20Documentation%20as%20of%2012%20June%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amp;K/RUC%20Documentation%202016/Elevator%20Business%20Ru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Table%203%20FY18%20SPECIAL%20FY18%20RUC%20Work%20Plan%20as%20of%206%20Jul%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sheetName val="RUC Calculations FY17v19"/>
      <sheetName val="GUCs Table 2 UFC 3-701-1"/>
      <sheetName val="MCP Inflation Table"/>
      <sheetName val="Mil Cost Premiums for RUCs"/>
      <sheetName val="M&amp;S Selection Business Rule"/>
      <sheetName val="Elevator Business Rule"/>
      <sheetName val="Overhead Crane Business Rule"/>
      <sheetName val="Fire Sprinkler Business Rule"/>
      <sheetName val="Loading Dock Footnote"/>
      <sheetName val="Range Business Rules"/>
      <sheetName val="POL FACs"/>
      <sheetName val="Scratch"/>
    </sheetNames>
    <sheetDataSet>
      <sheetData sheetId="0"/>
      <sheetData sheetId="1">
        <row r="388">
          <cell r="E388">
            <v>34000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Calculations FY17v19"/>
      <sheetName val="MCP Inflation Table"/>
      <sheetName val="Mil Cost Premiums for RUCs"/>
      <sheetName val="M&amp;S Selection Business Rule"/>
      <sheetName val="Elevator Business Rule"/>
      <sheetName val="Overhead Crane Business Rule"/>
      <sheetName val="Fire Sprinkler Business Rule"/>
      <sheetName val="Loading Dock Footnote"/>
      <sheetName val="Range Business Rules"/>
    </sheetNames>
    <sheetDataSet>
      <sheetData sheetId="0"/>
      <sheetData sheetId="1"/>
      <sheetData sheetId="2">
        <row r="4">
          <cell r="A4">
            <v>1321</v>
          </cell>
          <cell r="B4" t="str">
            <v>COMMUNICATIONS FACILITY</v>
          </cell>
          <cell r="C4" t="str">
            <v>EA</v>
          </cell>
          <cell r="D4" t="str">
            <v>S</v>
          </cell>
          <cell r="F4">
            <v>1.0209999999999999</v>
          </cell>
          <cell r="R4">
            <v>1.0209999999999999</v>
          </cell>
        </row>
        <row r="5">
          <cell r="A5">
            <v>1341</v>
          </cell>
          <cell r="B5" t="str">
            <v>AIRCRAFT NAVIGATION FACILITY</v>
          </cell>
          <cell r="C5" t="str">
            <v>EA</v>
          </cell>
          <cell r="D5" t="str">
            <v>S</v>
          </cell>
          <cell r="F5">
            <v>1.0209999999999999</v>
          </cell>
          <cell r="R5">
            <v>1.0209999999999999</v>
          </cell>
        </row>
        <row r="6">
          <cell r="A6">
            <v>1351</v>
          </cell>
          <cell r="B6" t="str">
            <v>COMMUNICATION LINES</v>
          </cell>
          <cell r="C6" t="str">
            <v>MI</v>
          </cell>
          <cell r="D6" t="str">
            <v>LS</v>
          </cell>
          <cell r="F6">
            <v>1.0209999999999999</v>
          </cell>
          <cell r="R6">
            <v>1.0209999999999999</v>
          </cell>
        </row>
        <row r="7">
          <cell r="A7">
            <v>1362</v>
          </cell>
          <cell r="B7" t="str">
            <v>AIRFIELD LIGHTING</v>
          </cell>
          <cell r="C7" t="str">
            <v>EA</v>
          </cell>
          <cell r="D7" t="str">
            <v>S</v>
          </cell>
          <cell r="F7">
            <v>1.0209999999999999</v>
          </cell>
          <cell r="R7">
            <v>1.0209999999999999</v>
          </cell>
        </row>
        <row r="8">
          <cell r="A8">
            <v>1381</v>
          </cell>
          <cell r="B8" t="str">
            <v>SHIP NAVIGATION FACILITY</v>
          </cell>
          <cell r="C8" t="str">
            <v>EA</v>
          </cell>
          <cell r="D8" t="str">
            <v>S</v>
          </cell>
          <cell r="F8">
            <v>1.0209999999999999</v>
          </cell>
          <cell r="R8">
            <v>1.0209999999999999</v>
          </cell>
        </row>
        <row r="9">
          <cell r="A9">
            <v>1422</v>
          </cell>
          <cell r="B9" t="str">
            <v>HELIUM STORAGE FACILITY</v>
          </cell>
          <cell r="C9" t="str">
            <v>EA</v>
          </cell>
          <cell r="D9" t="str">
            <v>S</v>
          </cell>
          <cell r="F9">
            <v>1.0209999999999999</v>
          </cell>
          <cell r="R9">
            <v>1.0209999999999999</v>
          </cell>
        </row>
        <row r="10">
          <cell r="A10">
            <v>1431</v>
          </cell>
          <cell r="B10" t="str">
            <v>SHIP OPERATIONS BUILDING</v>
          </cell>
          <cell r="C10" t="str">
            <v>SF</v>
          </cell>
          <cell r="D10" t="str">
            <v>B</v>
          </cell>
          <cell r="E10">
            <v>1.0740000000000001</v>
          </cell>
          <cell r="F10">
            <v>1.0209999999999999</v>
          </cell>
          <cell r="G10">
            <v>1.0269999999999999</v>
          </cell>
          <cell r="H10">
            <v>1.0029999999999999</v>
          </cell>
          <cell r="I10">
            <v>1.0289999999999999</v>
          </cell>
          <cell r="J10">
            <v>1.0049999999999999</v>
          </cell>
          <cell r="K10">
            <v>1.026</v>
          </cell>
          <cell r="L10">
            <v>1.0129999999999999</v>
          </cell>
          <cell r="M10">
            <v>1.0029999999999999</v>
          </cell>
          <cell r="N10">
            <v>1.0029999999999999</v>
          </cell>
          <cell r="O10">
            <v>1.0209999999999999</v>
          </cell>
          <cell r="P10">
            <v>1.032</v>
          </cell>
          <cell r="Q10">
            <v>1.0349999999999999</v>
          </cell>
          <cell r="R10">
            <v>1.3319480854780448</v>
          </cell>
        </row>
        <row r="11">
          <cell r="A11">
            <v>1441</v>
          </cell>
          <cell r="B11" t="str">
            <v>PHOTO/TV PRODUCTION BUILDING</v>
          </cell>
          <cell r="C11" t="str">
            <v>SF</v>
          </cell>
          <cell r="D11" t="str">
            <v>B</v>
          </cell>
          <cell r="E11">
            <v>1.0740000000000001</v>
          </cell>
          <cell r="F11">
            <v>1.0209999999999999</v>
          </cell>
          <cell r="G11">
            <v>1.0269999999999999</v>
          </cell>
          <cell r="H11">
            <v>1.0029999999999999</v>
          </cell>
          <cell r="I11">
            <v>1.0289999999999999</v>
          </cell>
          <cell r="J11">
            <v>1.0049999999999999</v>
          </cell>
          <cell r="K11">
            <v>1.026</v>
          </cell>
          <cell r="L11">
            <v>1.0129999999999999</v>
          </cell>
          <cell r="M11">
            <v>1.0029999999999999</v>
          </cell>
          <cell r="N11">
            <v>1.0029999999999999</v>
          </cell>
          <cell r="O11">
            <v>1.0209999999999999</v>
          </cell>
          <cell r="P11">
            <v>1.032</v>
          </cell>
          <cell r="Q11">
            <v>1.0349999999999999</v>
          </cell>
          <cell r="R11">
            <v>1.3319480854780448</v>
          </cell>
        </row>
        <row r="12">
          <cell r="A12">
            <v>1442</v>
          </cell>
          <cell r="B12" t="str">
            <v>OPERATIONS SUPPORT LAB</v>
          </cell>
          <cell r="C12" t="str">
            <v>SF</v>
          </cell>
          <cell r="D12" t="str">
            <v>B</v>
          </cell>
          <cell r="E12">
            <v>1.0740000000000001</v>
          </cell>
          <cell r="F12">
            <v>1.0209999999999999</v>
          </cell>
          <cell r="G12">
            <v>1.0269999999999999</v>
          </cell>
          <cell r="H12">
            <v>1.0029999999999999</v>
          </cell>
          <cell r="I12">
            <v>1.0289999999999999</v>
          </cell>
          <cell r="J12">
            <v>1.0049999999999999</v>
          </cell>
          <cell r="K12">
            <v>1.026</v>
          </cell>
          <cell r="L12">
            <v>1.0129999999999999</v>
          </cell>
          <cell r="M12">
            <v>1.0029999999999999</v>
          </cell>
          <cell r="N12">
            <v>1.0029999999999999</v>
          </cell>
          <cell r="O12">
            <v>1.0209999999999999</v>
          </cell>
          <cell r="P12">
            <v>1.032</v>
          </cell>
          <cell r="Q12">
            <v>1.0349999999999999</v>
          </cell>
          <cell r="R12">
            <v>1.3319480854780448</v>
          </cell>
        </row>
        <row r="13">
          <cell r="A13">
            <v>1443</v>
          </cell>
          <cell r="B13" t="str">
            <v>OPERATIONS SUPPLY BUILDING</v>
          </cell>
          <cell r="C13" t="str">
            <v>SF</v>
          </cell>
          <cell r="D13" t="str">
            <v>B</v>
          </cell>
          <cell r="E13">
            <v>1.0740000000000001</v>
          </cell>
          <cell r="F13">
            <v>1.0209999999999999</v>
          </cell>
          <cell r="G13">
            <v>1.0269999999999999</v>
          </cell>
          <cell r="H13">
            <v>1.0029999999999999</v>
          </cell>
          <cell r="I13">
            <v>1.0289999999999999</v>
          </cell>
          <cell r="J13">
            <v>1.0049999999999999</v>
          </cell>
          <cell r="M13">
            <v>1.0029999999999999</v>
          </cell>
          <cell r="N13">
            <v>1.0029999999999999</v>
          </cell>
          <cell r="P13">
            <v>1.032</v>
          </cell>
          <cell r="Q13">
            <v>1.0349999999999999</v>
          </cell>
          <cell r="R13">
            <v>1.2551763558420395</v>
          </cell>
        </row>
        <row r="14">
          <cell r="A14">
            <v>1446</v>
          </cell>
          <cell r="B14" t="str">
            <v>SECURITY FORCE BUILDING</v>
          </cell>
          <cell r="C14" t="str">
            <v>SF</v>
          </cell>
          <cell r="D14" t="str">
            <v>B</v>
          </cell>
          <cell r="E14">
            <v>1.0740000000000001</v>
          </cell>
          <cell r="F14">
            <v>1.0209999999999999</v>
          </cell>
          <cell r="G14">
            <v>1.0269999999999999</v>
          </cell>
          <cell r="I14">
            <v>1.0289999999999999</v>
          </cell>
          <cell r="J14">
            <v>1.0049999999999999</v>
          </cell>
          <cell r="K14">
            <v>1.026</v>
          </cell>
          <cell r="L14">
            <v>1.0129999999999999</v>
          </cell>
          <cell r="M14">
            <v>1.0029999999999999</v>
          </cell>
          <cell r="N14">
            <v>1.0029999999999999</v>
          </cell>
          <cell r="O14">
            <v>1.0209999999999999</v>
          </cell>
          <cell r="P14">
            <v>1.032</v>
          </cell>
          <cell r="Q14">
            <v>1.0349999999999999</v>
          </cell>
          <cell r="R14">
            <v>1.3279641928993471</v>
          </cell>
        </row>
        <row r="15">
          <cell r="A15">
            <v>1491</v>
          </cell>
          <cell r="B15" t="str">
            <v>NUCLEAR WEAPONS SUPPORT FACILITY</v>
          </cell>
          <cell r="C15" t="str">
            <v>EA</v>
          </cell>
          <cell r="D15" t="str">
            <v>S</v>
          </cell>
          <cell r="E15">
            <v>1.0740000000000001</v>
          </cell>
          <cell r="F15">
            <v>1.0209999999999999</v>
          </cell>
          <cell r="G15">
            <v>1.0269999999999999</v>
          </cell>
          <cell r="O15">
            <v>1.0209999999999999</v>
          </cell>
          <cell r="P15">
            <v>1.032</v>
          </cell>
          <cell r="Q15">
            <v>1.0349999999999999</v>
          </cell>
          <cell r="R15">
            <v>1.2281354183505979</v>
          </cell>
        </row>
        <row r="16">
          <cell r="A16">
            <v>1493</v>
          </cell>
          <cell r="B16" t="str">
            <v>EXPLOSIVES RAILWAY HOLDING YARD</v>
          </cell>
          <cell r="C16" t="str">
            <v>EA</v>
          </cell>
          <cell r="D16" t="str">
            <v>S</v>
          </cell>
          <cell r="F16">
            <v>1.0209999999999999</v>
          </cell>
          <cell r="G16">
            <v>1.0269999999999999</v>
          </cell>
          <cell r="P16">
            <v>1.032</v>
          </cell>
          <cell r="Q16">
            <v>1.0349999999999999</v>
          </cell>
          <cell r="R16">
            <v>1.1199953840399997</v>
          </cell>
        </row>
        <row r="17">
          <cell r="A17">
            <v>1495</v>
          </cell>
          <cell r="B17" t="str">
            <v>REVETMENT</v>
          </cell>
          <cell r="C17" t="str">
            <v>EA</v>
          </cell>
          <cell r="D17" t="str">
            <v>S</v>
          </cell>
          <cell r="F17">
            <v>1.0209999999999999</v>
          </cell>
          <cell r="R17">
            <v>1.0209999999999999</v>
          </cell>
        </row>
        <row r="18">
          <cell r="A18">
            <v>1513</v>
          </cell>
          <cell r="B18" t="str">
            <v>PIER/WHARF ACCESS TRESTLE</v>
          </cell>
          <cell r="C18" t="str">
            <v>SY</v>
          </cell>
          <cell r="D18" t="str">
            <v>S</v>
          </cell>
          <cell r="F18">
            <v>1.0209999999999999</v>
          </cell>
          <cell r="P18">
            <v>1.032</v>
          </cell>
          <cell r="Q18">
            <v>1.0349999999999999</v>
          </cell>
          <cell r="R18">
            <v>1.0905505199999999</v>
          </cell>
        </row>
        <row r="19">
          <cell r="A19">
            <v>1541</v>
          </cell>
          <cell r="B19" t="str">
            <v>SHORE EROSION PREVENTION FACILITY</v>
          </cell>
          <cell r="C19" t="str">
            <v>LF</v>
          </cell>
          <cell r="D19" t="str">
            <v>S</v>
          </cell>
          <cell r="F19">
            <v>1.0209999999999999</v>
          </cell>
          <cell r="R19">
            <v>1.0209999999999999</v>
          </cell>
        </row>
        <row r="20">
          <cell r="A20">
            <v>1551</v>
          </cell>
          <cell r="B20" t="str">
            <v>SMALL CRAFT BERTHING</v>
          </cell>
          <cell r="C20" t="str">
            <v>FB</v>
          </cell>
          <cell r="D20" t="str">
            <v>S</v>
          </cell>
          <cell r="F20">
            <v>1.0209999999999999</v>
          </cell>
          <cell r="P20">
            <v>1.032</v>
          </cell>
          <cell r="Q20">
            <v>1.0349999999999999</v>
          </cell>
          <cell r="R20">
            <v>1.0905505199999999</v>
          </cell>
        </row>
        <row r="21">
          <cell r="A21">
            <v>1552</v>
          </cell>
          <cell r="B21" t="str">
            <v>SMALL CRAFT BUILDING</v>
          </cell>
          <cell r="C21" t="str">
            <v>SF</v>
          </cell>
          <cell r="D21" t="str">
            <v>B</v>
          </cell>
          <cell r="F21">
            <v>1.0209999999999999</v>
          </cell>
          <cell r="J21">
            <v>1.0049999999999999</v>
          </cell>
          <cell r="N21">
            <v>1.0029999999999999</v>
          </cell>
          <cell r="O21">
            <v>1.0209999999999999</v>
          </cell>
          <cell r="P21">
            <v>1.032</v>
          </cell>
          <cell r="Q21">
            <v>1.0349999999999999</v>
          </cell>
          <cell r="R21">
            <v>1.1223763993485734</v>
          </cell>
        </row>
        <row r="22">
          <cell r="A22">
            <v>1591</v>
          </cell>
          <cell r="B22" t="str">
            <v>MISCELLANEOUS WATERFRONT FACILITY</v>
          </cell>
          <cell r="C22" t="str">
            <v>EA</v>
          </cell>
          <cell r="D22" t="str">
            <v>S</v>
          </cell>
          <cell r="F22">
            <v>1.0209999999999999</v>
          </cell>
          <cell r="R22">
            <v>1.0209999999999999</v>
          </cell>
        </row>
        <row r="23">
          <cell r="A23">
            <v>1641</v>
          </cell>
          <cell r="B23" t="str">
            <v>HARBOR MARINE IMPROVEMENTS</v>
          </cell>
          <cell r="C23" t="str">
            <v>LF</v>
          </cell>
          <cell r="D23" t="str">
            <v>S</v>
          </cell>
          <cell r="F23">
            <v>1.0209999999999999</v>
          </cell>
          <cell r="R23">
            <v>1.0209999999999999</v>
          </cell>
        </row>
        <row r="24">
          <cell r="A24">
            <v>1725</v>
          </cell>
          <cell r="B24" t="str">
            <v>TRAINING POOL AND TANK</v>
          </cell>
          <cell r="C24" t="str">
            <v>EA</v>
          </cell>
          <cell r="D24" t="str">
            <v>S</v>
          </cell>
          <cell r="F24">
            <v>1.0209999999999999</v>
          </cell>
          <cell r="G24">
            <v>1.0269999999999999</v>
          </cell>
          <cell r="L24">
            <v>1.0129999999999999</v>
          </cell>
          <cell r="N24">
            <v>1.0029999999999999</v>
          </cell>
          <cell r="P24">
            <v>1.032</v>
          </cell>
          <cell r="Q24">
            <v>1.0349999999999999</v>
          </cell>
          <cell r="R24">
            <v>1.1379589900046172</v>
          </cell>
        </row>
        <row r="25">
          <cell r="A25">
            <v>1745</v>
          </cell>
          <cell r="B25" t="str">
            <v>PARADE AND DRILL FIELD</v>
          </cell>
          <cell r="C25" t="str">
            <v>AC</v>
          </cell>
          <cell r="D25" t="str">
            <v>S</v>
          </cell>
          <cell r="F25">
            <v>1.0209999999999999</v>
          </cell>
          <cell r="R25">
            <v>1.0209999999999999</v>
          </cell>
        </row>
        <row r="26">
          <cell r="A26">
            <v>1750</v>
          </cell>
          <cell r="B26" t="str">
            <v>GENERAL PURPOSE SMALL ARMS RANGE</v>
          </cell>
          <cell r="C26" t="str">
            <v>FP</v>
          </cell>
          <cell r="D26" t="str">
            <v>S</v>
          </cell>
          <cell r="F26">
            <v>1.0209999999999999</v>
          </cell>
          <cell r="G26">
            <v>1.0269999999999999</v>
          </cell>
          <cell r="R26">
            <v>1.0485669999999998</v>
          </cell>
        </row>
        <row r="27">
          <cell r="A27">
            <v>1751</v>
          </cell>
          <cell r="B27" t="str">
            <v>ZERO RANGE</v>
          </cell>
          <cell r="C27" t="str">
            <v>FP</v>
          </cell>
          <cell r="D27" t="str">
            <v>S</v>
          </cell>
          <cell r="F27">
            <v>1.0209999999999999</v>
          </cell>
          <cell r="G27">
            <v>1.0269999999999999</v>
          </cell>
          <cell r="R27">
            <v>1.0485669999999998</v>
          </cell>
        </row>
        <row r="28">
          <cell r="A28">
            <v>1752</v>
          </cell>
          <cell r="B28" t="str">
            <v>FIELD FIRE RANGE</v>
          </cell>
          <cell r="C28" t="str">
            <v>FP</v>
          </cell>
          <cell r="D28" t="str">
            <v>S</v>
          </cell>
          <cell r="F28">
            <v>1.0209999999999999</v>
          </cell>
          <cell r="G28">
            <v>1.0269999999999999</v>
          </cell>
          <cell r="R28">
            <v>1.0485669999999998</v>
          </cell>
        </row>
        <row r="29">
          <cell r="A29">
            <v>1753</v>
          </cell>
          <cell r="B29" t="str">
            <v>RECORD FIRE RANGE</v>
          </cell>
          <cell r="C29" t="str">
            <v>FP</v>
          </cell>
          <cell r="D29" t="str">
            <v>S</v>
          </cell>
          <cell r="F29">
            <v>1.0209999999999999</v>
          </cell>
          <cell r="G29">
            <v>1.0269999999999999</v>
          </cell>
          <cell r="R29">
            <v>1.0485669999999998</v>
          </cell>
        </row>
        <row r="30">
          <cell r="A30">
            <v>1754</v>
          </cell>
          <cell r="B30" t="str">
            <v>NIGHT FIRE RANGE</v>
          </cell>
          <cell r="C30" t="str">
            <v>FP</v>
          </cell>
          <cell r="D30" t="str">
            <v>S</v>
          </cell>
          <cell r="F30">
            <v>1.0209999999999999</v>
          </cell>
          <cell r="G30">
            <v>1.0269999999999999</v>
          </cell>
          <cell r="R30">
            <v>1.0485669999999998</v>
          </cell>
        </row>
        <row r="31">
          <cell r="A31">
            <v>1755</v>
          </cell>
          <cell r="B31" t="str">
            <v>KNOWN DISTANCE RANGE</v>
          </cell>
          <cell r="C31" t="str">
            <v>FP</v>
          </cell>
          <cell r="D31" t="str">
            <v>S</v>
          </cell>
          <cell r="F31">
            <v>1.0209999999999999</v>
          </cell>
          <cell r="G31">
            <v>1.0269999999999999</v>
          </cell>
          <cell r="R31">
            <v>1.0485669999999998</v>
          </cell>
        </row>
        <row r="32">
          <cell r="A32">
            <v>1756</v>
          </cell>
          <cell r="B32" t="str">
            <v>SNIPER RANGE</v>
          </cell>
          <cell r="C32" t="str">
            <v>FP</v>
          </cell>
          <cell r="D32" t="str">
            <v>S</v>
          </cell>
          <cell r="F32">
            <v>1.0209999999999999</v>
          </cell>
          <cell r="G32">
            <v>1.0269999999999999</v>
          </cell>
          <cell r="R32">
            <v>1.0485669999999998</v>
          </cell>
        </row>
        <row r="33">
          <cell r="A33">
            <v>1757</v>
          </cell>
          <cell r="B33" t="str">
            <v>PISTOL RANGE</v>
          </cell>
          <cell r="C33" t="str">
            <v>FP</v>
          </cell>
          <cell r="D33" t="str">
            <v>S</v>
          </cell>
          <cell r="F33">
            <v>1.0209999999999999</v>
          </cell>
          <cell r="G33">
            <v>1.0269999999999999</v>
          </cell>
          <cell r="R33">
            <v>1.0485669999999998</v>
          </cell>
        </row>
        <row r="34">
          <cell r="A34">
            <v>1758</v>
          </cell>
          <cell r="B34" t="str">
            <v>MACHINEGUN RANGE</v>
          </cell>
          <cell r="C34" t="str">
            <v>FP</v>
          </cell>
          <cell r="D34" t="str">
            <v>S</v>
          </cell>
          <cell r="F34">
            <v>1.0209999999999999</v>
          </cell>
          <cell r="G34">
            <v>1.0269999999999999</v>
          </cell>
          <cell r="R34">
            <v>1.0485669999999998</v>
          </cell>
        </row>
        <row r="35">
          <cell r="A35">
            <v>1760</v>
          </cell>
          <cell r="B35" t="str">
            <v>GENERAL PURPOSE DIRECT FIRE RANGE</v>
          </cell>
          <cell r="C35" t="str">
            <v>FP</v>
          </cell>
          <cell r="D35" t="str">
            <v>S</v>
          </cell>
          <cell r="F35">
            <v>1.0209999999999999</v>
          </cell>
          <cell r="G35">
            <v>1.0269999999999999</v>
          </cell>
          <cell r="R35">
            <v>1.0485669999999998</v>
          </cell>
        </row>
        <row r="36">
          <cell r="A36">
            <v>1761</v>
          </cell>
          <cell r="B36" t="str">
            <v>GRENADE LAUNCHER RANGE</v>
          </cell>
          <cell r="C36" t="str">
            <v>FP</v>
          </cell>
          <cell r="D36" t="str">
            <v>S</v>
          </cell>
          <cell r="F36">
            <v>1.0209999999999999</v>
          </cell>
          <cell r="G36">
            <v>1.0269999999999999</v>
          </cell>
          <cell r="R36">
            <v>1.0485669999999998</v>
          </cell>
        </row>
        <row r="37">
          <cell r="A37">
            <v>1762</v>
          </cell>
          <cell r="B37" t="str">
            <v>GRENADE MACHINEGUN RANGE</v>
          </cell>
          <cell r="C37" t="str">
            <v>LN</v>
          </cell>
          <cell r="D37" t="str">
            <v>S</v>
          </cell>
          <cell r="F37">
            <v>1.0209999999999999</v>
          </cell>
          <cell r="G37">
            <v>1.0269999999999999</v>
          </cell>
          <cell r="R37">
            <v>1.0485669999999998</v>
          </cell>
        </row>
        <row r="38">
          <cell r="A38">
            <v>1763</v>
          </cell>
          <cell r="B38" t="str">
            <v>LIGHT ANTIARMOR WEAPON RANGE</v>
          </cell>
          <cell r="C38" t="str">
            <v>FP</v>
          </cell>
          <cell r="D38" t="str">
            <v>S</v>
          </cell>
          <cell r="F38">
            <v>1.0209999999999999</v>
          </cell>
          <cell r="G38">
            <v>1.0269999999999999</v>
          </cell>
          <cell r="R38">
            <v>1.0485669999999998</v>
          </cell>
        </row>
        <row r="39">
          <cell r="A39">
            <v>1764</v>
          </cell>
          <cell r="B39" t="str">
            <v>HEAVY ANTIARMOR WEAPON RANGE</v>
          </cell>
          <cell r="C39" t="str">
            <v>LN</v>
          </cell>
          <cell r="D39" t="str">
            <v>S</v>
          </cell>
          <cell r="F39">
            <v>1.0209999999999999</v>
          </cell>
          <cell r="G39">
            <v>1.0269999999999999</v>
          </cell>
          <cell r="R39">
            <v>1.0485669999999998</v>
          </cell>
        </row>
        <row r="40">
          <cell r="A40">
            <v>1765</v>
          </cell>
          <cell r="B40" t="str">
            <v>ARTILLERY DIRECT FIRE RANGE</v>
          </cell>
          <cell r="C40" t="str">
            <v>EA</v>
          </cell>
          <cell r="D40" t="str">
            <v>S</v>
          </cell>
          <cell r="F40">
            <v>1.0209999999999999</v>
          </cell>
          <cell r="G40">
            <v>1.0269999999999999</v>
          </cell>
          <cell r="R40">
            <v>1.0485669999999998</v>
          </cell>
        </row>
        <row r="41">
          <cell r="A41">
            <v>1766</v>
          </cell>
          <cell r="B41" t="str">
            <v>TANK STATIONARY GUNNERY RANGE</v>
          </cell>
          <cell r="C41" t="str">
            <v>EA</v>
          </cell>
          <cell r="D41" t="str">
            <v>S</v>
          </cell>
          <cell r="F41">
            <v>1.0209999999999999</v>
          </cell>
          <cell r="G41">
            <v>1.0269999999999999</v>
          </cell>
          <cell r="R41">
            <v>1.0485669999999998</v>
          </cell>
        </row>
        <row r="42">
          <cell r="A42">
            <v>1767</v>
          </cell>
          <cell r="B42" t="str">
            <v>INDIRECT FIRE RANGE</v>
          </cell>
          <cell r="C42" t="str">
            <v>EA</v>
          </cell>
          <cell r="D42" t="str">
            <v>S</v>
          </cell>
          <cell r="F42">
            <v>1.0209999999999999</v>
          </cell>
          <cell r="G42">
            <v>1.0269999999999999</v>
          </cell>
          <cell r="R42">
            <v>1.0485669999999998</v>
          </cell>
        </row>
        <row r="43">
          <cell r="A43">
            <v>1768</v>
          </cell>
          <cell r="B43" t="str">
            <v>SCALED INDIRECT FIRE RANGE</v>
          </cell>
          <cell r="C43" t="str">
            <v>EA</v>
          </cell>
          <cell r="D43" t="str">
            <v>S</v>
          </cell>
          <cell r="F43">
            <v>1.0209999999999999</v>
          </cell>
          <cell r="G43">
            <v>1.0269999999999999</v>
          </cell>
          <cell r="R43">
            <v>1.0485669999999998</v>
          </cell>
        </row>
        <row r="44">
          <cell r="A44">
            <v>1769</v>
          </cell>
          <cell r="B44" t="str">
            <v>SCALED GUNNERY RANGE</v>
          </cell>
          <cell r="C44" t="str">
            <v>EA</v>
          </cell>
          <cell r="D44" t="str">
            <v>S</v>
          </cell>
          <cell r="F44">
            <v>1.0209999999999999</v>
          </cell>
          <cell r="G44">
            <v>1.0269999999999999</v>
          </cell>
          <cell r="R44">
            <v>1.0485669999999998</v>
          </cell>
        </row>
        <row r="45">
          <cell r="A45">
            <v>1771</v>
          </cell>
          <cell r="B45" t="str">
            <v>ARMOR VEHICLE CREW TRAINING RANGE</v>
          </cell>
          <cell r="C45" t="str">
            <v>LN</v>
          </cell>
          <cell r="D45" t="str">
            <v>S</v>
          </cell>
          <cell r="F45">
            <v>1.0209999999999999</v>
          </cell>
          <cell r="G45">
            <v>1.0269999999999999</v>
          </cell>
          <cell r="P45">
            <v>1.032</v>
          </cell>
          <cell r="R45">
            <v>1.0821211439999998</v>
          </cell>
        </row>
        <row r="46">
          <cell r="A46">
            <v>1772</v>
          </cell>
          <cell r="B46" t="str">
            <v>ARMOR VEHICLE UNIT TRAINING RANGE</v>
          </cell>
          <cell r="C46" t="str">
            <v>EA</v>
          </cell>
          <cell r="D46" t="str">
            <v>S</v>
          </cell>
          <cell r="F46">
            <v>1.0209999999999999</v>
          </cell>
          <cell r="G46">
            <v>1.0269999999999999</v>
          </cell>
          <cell r="P46">
            <v>1.032</v>
          </cell>
          <cell r="R46">
            <v>1.0821211439999998</v>
          </cell>
        </row>
        <row r="47">
          <cell r="A47">
            <v>1773</v>
          </cell>
          <cell r="B47" t="str">
            <v>FIRE AND MOVEMENT RANGE</v>
          </cell>
          <cell r="C47" t="str">
            <v>LN</v>
          </cell>
          <cell r="D47" t="str">
            <v>S</v>
          </cell>
          <cell r="F47">
            <v>1.0209999999999999</v>
          </cell>
          <cell r="G47">
            <v>1.0269999999999999</v>
          </cell>
          <cell r="R47">
            <v>1.0485669999999998</v>
          </cell>
        </row>
        <row r="48">
          <cell r="A48">
            <v>1774</v>
          </cell>
          <cell r="B48" t="str">
            <v>SQUAD DEFENSE RANGE</v>
          </cell>
          <cell r="C48" t="str">
            <v>EA</v>
          </cell>
          <cell r="D48" t="str">
            <v>S</v>
          </cell>
          <cell r="F48">
            <v>1.0209999999999999</v>
          </cell>
          <cell r="G48">
            <v>1.0269999999999999</v>
          </cell>
          <cell r="R48">
            <v>1.0485669999999998</v>
          </cell>
        </row>
        <row r="49">
          <cell r="A49">
            <v>1775</v>
          </cell>
          <cell r="B49" t="str">
            <v>INFANTRY BATTLE COURSE</v>
          </cell>
          <cell r="C49" t="str">
            <v>EA</v>
          </cell>
          <cell r="D49" t="str">
            <v>S</v>
          </cell>
          <cell r="F49">
            <v>1.0209999999999999</v>
          </cell>
          <cell r="G49">
            <v>1.0269999999999999</v>
          </cell>
          <cell r="R49">
            <v>1.0485669999999998</v>
          </cell>
        </row>
        <row r="50">
          <cell r="A50">
            <v>1776</v>
          </cell>
          <cell r="B50" t="str">
            <v>URBAN COMBAT TRAINING RANGE</v>
          </cell>
          <cell r="C50" t="str">
            <v>EA</v>
          </cell>
          <cell r="D50" t="str">
            <v>S</v>
          </cell>
          <cell r="F50">
            <v>1.0209999999999999</v>
          </cell>
          <cell r="G50">
            <v>1.0269999999999999</v>
          </cell>
          <cell r="P50">
            <v>1.032</v>
          </cell>
          <cell r="R50">
            <v>1.0821211439999998</v>
          </cell>
        </row>
        <row r="51">
          <cell r="A51">
            <v>1777</v>
          </cell>
          <cell r="B51" t="str">
            <v>CONVOY LIVE FIRE RANGE</v>
          </cell>
          <cell r="C51" t="str">
            <v>FP</v>
          </cell>
          <cell r="D51" t="str">
            <v>S</v>
          </cell>
          <cell r="F51">
            <v>1.0209999999999999</v>
          </cell>
          <cell r="G51">
            <v>1.0269999999999999</v>
          </cell>
          <cell r="R51">
            <v>1.0485669999999998</v>
          </cell>
        </row>
        <row r="52">
          <cell r="A52">
            <v>1781</v>
          </cell>
          <cell r="B52" t="str">
            <v>LIVE HAND GRENADE RANGE</v>
          </cell>
          <cell r="C52" t="str">
            <v>FP</v>
          </cell>
          <cell r="D52" t="str">
            <v>S</v>
          </cell>
          <cell r="F52">
            <v>1.0209999999999999</v>
          </cell>
          <cell r="G52">
            <v>1.0269999999999999</v>
          </cell>
          <cell r="R52">
            <v>1.0485669999999998</v>
          </cell>
        </row>
        <row r="53">
          <cell r="A53">
            <v>1782</v>
          </cell>
          <cell r="B53" t="str">
            <v>ENGINEER QUALIFICATION RANGE</v>
          </cell>
          <cell r="C53" t="str">
            <v>FP</v>
          </cell>
          <cell r="D53" t="str">
            <v>S</v>
          </cell>
          <cell r="F53">
            <v>1.0209999999999999</v>
          </cell>
          <cell r="G53">
            <v>1.0269999999999999</v>
          </cell>
          <cell r="R53">
            <v>1.0485669999999998</v>
          </cell>
        </row>
        <row r="54">
          <cell r="A54">
            <v>1783</v>
          </cell>
          <cell r="B54" t="str">
            <v>LIGHT DEMOLITION AND FLAME TRAINING RANGE</v>
          </cell>
          <cell r="C54" t="str">
            <v>FP</v>
          </cell>
          <cell r="D54" t="str">
            <v>S</v>
          </cell>
          <cell r="F54">
            <v>1.0209999999999999</v>
          </cell>
          <cell r="G54">
            <v>1.0269999999999999</v>
          </cell>
          <cell r="R54">
            <v>1.0485669999999998</v>
          </cell>
        </row>
        <row r="55">
          <cell r="A55">
            <v>1790</v>
          </cell>
          <cell r="B55" t="str">
            <v>MISCELLANEOUS TRAINING FACILITY</v>
          </cell>
          <cell r="C55" t="str">
            <v>EA</v>
          </cell>
          <cell r="D55" t="str">
            <v>S</v>
          </cell>
          <cell r="F55">
            <v>1.0209999999999999</v>
          </cell>
          <cell r="G55">
            <v>1.0269999999999999</v>
          </cell>
          <cell r="R55">
            <v>1.0485669999999998</v>
          </cell>
        </row>
        <row r="56">
          <cell r="A56">
            <v>1791</v>
          </cell>
          <cell r="B56" t="str">
            <v>AIRCRAFT WEAPONS CALIBRATION RANGE</v>
          </cell>
          <cell r="C56" t="str">
            <v>EA</v>
          </cell>
          <cell r="D56" t="str">
            <v>S</v>
          </cell>
          <cell r="F56">
            <v>1.0209999999999999</v>
          </cell>
          <cell r="G56">
            <v>1.0269999999999999</v>
          </cell>
          <cell r="R56">
            <v>1.0485669999999998</v>
          </cell>
        </row>
        <row r="57">
          <cell r="A57">
            <v>1792</v>
          </cell>
          <cell r="B57" t="str">
            <v>ATTACK HELICOPTER WEAPONS RANGE</v>
          </cell>
          <cell r="C57" t="str">
            <v>EA</v>
          </cell>
          <cell r="D57" t="str">
            <v>S</v>
          </cell>
          <cell r="F57">
            <v>1.0209999999999999</v>
          </cell>
          <cell r="G57">
            <v>1.0269999999999999</v>
          </cell>
          <cell r="P57">
            <v>1.032</v>
          </cell>
          <cell r="R57">
            <v>1.0821211439999998</v>
          </cell>
        </row>
        <row r="58">
          <cell r="A58">
            <v>1793</v>
          </cell>
          <cell r="B58" t="str">
            <v>AIRCRAFT WEAPONS RANGE</v>
          </cell>
          <cell r="C58" t="str">
            <v>EA</v>
          </cell>
          <cell r="D58" t="str">
            <v>S</v>
          </cell>
          <cell r="F58">
            <v>1.0209999999999999</v>
          </cell>
          <cell r="G58">
            <v>1.0269999999999999</v>
          </cell>
          <cell r="R58">
            <v>1.0485669999999998</v>
          </cell>
        </row>
        <row r="59">
          <cell r="A59">
            <v>1794</v>
          </cell>
          <cell r="B59" t="str">
            <v>AIR DEFENSE RANGE</v>
          </cell>
          <cell r="C59" t="str">
            <v>FP</v>
          </cell>
          <cell r="D59" t="str">
            <v>S</v>
          </cell>
          <cell r="F59">
            <v>1.0209999999999999</v>
          </cell>
          <cell r="G59">
            <v>1.0269999999999999</v>
          </cell>
          <cell r="R59">
            <v>1.0485669999999998</v>
          </cell>
        </row>
        <row r="60">
          <cell r="A60">
            <v>1795</v>
          </cell>
          <cell r="B60" t="str">
            <v>FIRE AND RESCUE TRAINING FACILITY</v>
          </cell>
          <cell r="C60" t="str">
            <v>EA</v>
          </cell>
          <cell r="D60" t="str">
            <v>S</v>
          </cell>
          <cell r="F60">
            <v>1.0209999999999999</v>
          </cell>
          <cell r="G60">
            <v>1.0269999999999999</v>
          </cell>
          <cell r="P60">
            <v>1.032</v>
          </cell>
          <cell r="R60">
            <v>1.0821211439999998</v>
          </cell>
        </row>
        <row r="61">
          <cell r="A61">
            <v>1796</v>
          </cell>
          <cell r="B61" t="str">
            <v>URBAN COMBAT TRAINING AREA, NON-FIRE</v>
          </cell>
          <cell r="C61" t="str">
            <v>SF</v>
          </cell>
          <cell r="D61" t="str">
            <v>S</v>
          </cell>
          <cell r="F61">
            <v>1.0209999999999999</v>
          </cell>
          <cell r="G61">
            <v>1.0269999999999999</v>
          </cell>
          <cell r="P61">
            <v>1.032</v>
          </cell>
          <cell r="R61">
            <v>1.0821211439999998</v>
          </cell>
        </row>
        <row r="62">
          <cell r="A62">
            <v>1797</v>
          </cell>
          <cell r="B62" t="str">
            <v>HAND GRENADE RANGE, NON-FIRING</v>
          </cell>
          <cell r="C62" t="str">
            <v>FP</v>
          </cell>
          <cell r="D62" t="str">
            <v>S</v>
          </cell>
          <cell r="F62">
            <v>1.0209999999999999</v>
          </cell>
          <cell r="G62">
            <v>1.0269999999999999</v>
          </cell>
          <cell r="R62">
            <v>1.0485669999999998</v>
          </cell>
        </row>
        <row r="63">
          <cell r="A63">
            <v>1798</v>
          </cell>
          <cell r="B63" t="str">
            <v>INFILTRATION COURSE, LIVE FIRE</v>
          </cell>
          <cell r="C63" t="str">
            <v>EA</v>
          </cell>
          <cell r="D63" t="str">
            <v>S</v>
          </cell>
          <cell r="F63">
            <v>1.0209999999999999</v>
          </cell>
          <cell r="G63">
            <v>1.0269999999999999</v>
          </cell>
          <cell r="R63">
            <v>1.0485669999999998</v>
          </cell>
        </row>
        <row r="64">
          <cell r="A64">
            <v>1799</v>
          </cell>
          <cell r="B64" t="str">
            <v>CONFIDENCE/OBSTACLE COURSE</v>
          </cell>
          <cell r="C64" t="str">
            <v>EA</v>
          </cell>
          <cell r="D64" t="str">
            <v>S</v>
          </cell>
          <cell r="F64">
            <v>1.0209999999999999</v>
          </cell>
          <cell r="G64">
            <v>1.0269999999999999</v>
          </cell>
          <cell r="R64">
            <v>1.0485669999999998</v>
          </cell>
        </row>
        <row r="65">
          <cell r="A65">
            <v>2112</v>
          </cell>
          <cell r="B65" t="str">
            <v>AIRCRAFT MAINTENANCE SHOP</v>
          </cell>
          <cell r="C65" t="str">
            <v>SF</v>
          </cell>
          <cell r="D65" t="str">
            <v>B</v>
          </cell>
          <cell r="F65">
            <v>1.0209999999999999</v>
          </cell>
          <cell r="G65">
            <v>1.0269999999999999</v>
          </cell>
          <cell r="H65">
            <v>1.0029999999999999</v>
          </cell>
          <cell r="I65">
            <v>1.0289999999999999</v>
          </cell>
          <cell r="J65">
            <v>1.0049999999999999</v>
          </cell>
          <cell r="M65">
            <v>1.0029999999999999</v>
          </cell>
          <cell r="N65">
            <v>1.0029999999999999</v>
          </cell>
          <cell r="O65">
            <v>1.0209999999999999</v>
          </cell>
          <cell r="P65">
            <v>1.032</v>
          </cell>
          <cell r="Q65">
            <v>1.0349999999999999</v>
          </cell>
          <cell r="R65">
            <v>1.1932356231980656</v>
          </cell>
        </row>
        <row r="66">
          <cell r="A66">
            <v>2121</v>
          </cell>
          <cell r="B66" t="str">
            <v>MISSILE MAINTENANCE/ASSEMBLY BUILDING</v>
          </cell>
          <cell r="C66" t="str">
            <v>SF</v>
          </cell>
          <cell r="D66" t="str">
            <v>B</v>
          </cell>
          <cell r="F66">
            <v>1.0209999999999999</v>
          </cell>
          <cell r="G66">
            <v>1.0269999999999999</v>
          </cell>
          <cell r="H66">
            <v>1.0029999999999999</v>
          </cell>
          <cell r="I66">
            <v>1.0289999999999999</v>
          </cell>
          <cell r="J66">
            <v>1.0049999999999999</v>
          </cell>
          <cell r="M66">
            <v>1.0029999999999999</v>
          </cell>
          <cell r="N66">
            <v>1.0029999999999999</v>
          </cell>
          <cell r="O66">
            <v>1.0209999999999999</v>
          </cell>
          <cell r="P66">
            <v>1.032</v>
          </cell>
          <cell r="Q66">
            <v>1.0349999999999999</v>
          </cell>
          <cell r="R66">
            <v>1.1932356231980656</v>
          </cell>
        </row>
        <row r="67">
          <cell r="A67">
            <v>2123</v>
          </cell>
          <cell r="B67" t="str">
            <v>MISSILE/LAUNCHER MAINTENANCE SUPPORT FACILITY</v>
          </cell>
          <cell r="C67" t="str">
            <v>SF</v>
          </cell>
          <cell r="D67" t="str">
            <v>B</v>
          </cell>
          <cell r="F67">
            <v>1.0209999999999999</v>
          </cell>
          <cell r="G67">
            <v>1.0269999999999999</v>
          </cell>
          <cell r="H67">
            <v>1.0029999999999999</v>
          </cell>
          <cell r="I67">
            <v>1.0289999999999999</v>
          </cell>
          <cell r="J67">
            <v>1.0049999999999999</v>
          </cell>
          <cell r="M67">
            <v>1.0029999999999999</v>
          </cell>
          <cell r="N67">
            <v>1.0029999999999999</v>
          </cell>
          <cell r="O67">
            <v>1.0209999999999999</v>
          </cell>
          <cell r="P67">
            <v>1.032</v>
          </cell>
          <cell r="Q67">
            <v>1.0349999999999999</v>
          </cell>
          <cell r="R67">
            <v>1.1932356231980656</v>
          </cell>
        </row>
        <row r="68">
          <cell r="A68">
            <v>2124</v>
          </cell>
          <cell r="B68" t="str">
            <v>MISSILE TEST TOWER</v>
          </cell>
          <cell r="C68" t="str">
            <v>EA</v>
          </cell>
          <cell r="D68" t="str">
            <v>S</v>
          </cell>
          <cell r="F68">
            <v>1.0209999999999999</v>
          </cell>
          <cell r="G68">
            <v>1.0269999999999999</v>
          </cell>
          <cell r="N68">
            <v>1.0029999999999999</v>
          </cell>
          <cell r="P68">
            <v>1.032</v>
          </cell>
          <cell r="Q68">
            <v>1.0349999999999999</v>
          </cell>
          <cell r="R68">
            <v>1.1233553701921195</v>
          </cell>
        </row>
        <row r="69">
          <cell r="A69">
            <v>2125</v>
          </cell>
          <cell r="B69" t="str">
            <v>MISSILE MAINTENANCE/ASSEMBLY BUILDING, DEPOT</v>
          </cell>
          <cell r="C69" t="str">
            <v>SF</v>
          </cell>
          <cell r="D69" t="str">
            <v>B</v>
          </cell>
          <cell r="F69">
            <v>1.0209999999999999</v>
          </cell>
          <cell r="G69">
            <v>1.0269999999999999</v>
          </cell>
          <cell r="H69">
            <v>1.0029999999999999</v>
          </cell>
          <cell r="I69">
            <v>1.0289999999999999</v>
          </cell>
          <cell r="J69">
            <v>1.0049999999999999</v>
          </cell>
          <cell r="M69">
            <v>1.0029999999999999</v>
          </cell>
          <cell r="N69">
            <v>1.0029999999999999</v>
          </cell>
          <cell r="O69">
            <v>1.0209999999999999</v>
          </cell>
          <cell r="P69">
            <v>1.032</v>
          </cell>
          <cell r="Q69">
            <v>1.0349999999999999</v>
          </cell>
          <cell r="R69">
            <v>1.1932356231980656</v>
          </cell>
        </row>
        <row r="70">
          <cell r="A70">
            <v>2126</v>
          </cell>
          <cell r="B70" t="str">
            <v>ICBM PROCESSING FACILITY</v>
          </cell>
          <cell r="C70" t="str">
            <v>SF</v>
          </cell>
          <cell r="D70" t="str">
            <v>B</v>
          </cell>
          <cell r="F70">
            <v>1.0209999999999999</v>
          </cell>
          <cell r="G70">
            <v>1.0269999999999999</v>
          </cell>
          <cell r="H70">
            <v>1.0029999999999999</v>
          </cell>
          <cell r="I70">
            <v>1.0289999999999999</v>
          </cell>
          <cell r="J70">
            <v>1.0049999999999999</v>
          </cell>
          <cell r="M70">
            <v>1.0029999999999999</v>
          </cell>
          <cell r="N70">
            <v>1.0029999999999999</v>
          </cell>
          <cell r="O70">
            <v>1.0209999999999999</v>
          </cell>
          <cell r="P70">
            <v>1.032</v>
          </cell>
          <cell r="Q70">
            <v>1.0349999999999999</v>
          </cell>
          <cell r="R70">
            <v>1.1932356231980656</v>
          </cell>
        </row>
        <row r="71">
          <cell r="A71">
            <v>2131</v>
          </cell>
          <cell r="B71" t="str">
            <v>SHIP MAINTENANCE DRY DOCK</v>
          </cell>
          <cell r="C71" t="str">
            <v>SF</v>
          </cell>
          <cell r="D71" t="str">
            <v>S</v>
          </cell>
          <cell r="F71">
            <v>1.0209999999999999</v>
          </cell>
          <cell r="G71">
            <v>1.0269999999999999</v>
          </cell>
          <cell r="H71">
            <v>1.0029999999999999</v>
          </cell>
          <cell r="N71">
            <v>1.0029999999999999</v>
          </cell>
          <cell r="O71">
            <v>1.0209999999999999</v>
          </cell>
          <cell r="P71">
            <v>1.032</v>
          </cell>
          <cell r="Q71">
            <v>1.0349999999999999</v>
          </cell>
          <cell r="R71">
            <v>1.1503866704650523</v>
          </cell>
        </row>
        <row r="72">
          <cell r="A72">
            <v>2134</v>
          </cell>
          <cell r="B72" t="str">
            <v>MARINE MAINTENANCE SUPPORT FACILITY</v>
          </cell>
          <cell r="C72" t="str">
            <v>SF</v>
          </cell>
          <cell r="D72" t="str">
            <v>B</v>
          </cell>
          <cell r="F72">
            <v>1.0209999999999999</v>
          </cell>
          <cell r="G72">
            <v>1.0269999999999999</v>
          </cell>
          <cell r="J72">
            <v>1.0049999999999999</v>
          </cell>
          <cell r="N72">
            <v>1.0029999999999999</v>
          </cell>
          <cell r="P72">
            <v>1.032</v>
          </cell>
          <cell r="Q72">
            <v>1.0349999999999999</v>
          </cell>
          <cell r="R72">
            <v>1.12897214704308</v>
          </cell>
        </row>
        <row r="73">
          <cell r="A73">
            <v>2152</v>
          </cell>
          <cell r="B73" t="str">
            <v>WEAPON MAINTENANCE SHOP, DEPOT</v>
          </cell>
          <cell r="C73" t="str">
            <v>SF</v>
          </cell>
          <cell r="D73" t="str">
            <v>B</v>
          </cell>
          <cell r="F73">
            <v>1.0209999999999999</v>
          </cell>
          <cell r="G73">
            <v>1.0269999999999999</v>
          </cell>
          <cell r="H73">
            <v>1.0029999999999999</v>
          </cell>
          <cell r="I73">
            <v>1.0289999999999999</v>
          </cell>
          <cell r="J73">
            <v>1.0049999999999999</v>
          </cell>
          <cell r="M73">
            <v>1.0029999999999999</v>
          </cell>
          <cell r="N73">
            <v>1.0029999999999999</v>
          </cell>
          <cell r="O73">
            <v>1.0209999999999999</v>
          </cell>
          <cell r="P73">
            <v>1.032</v>
          </cell>
          <cell r="Q73">
            <v>1.0349999999999999</v>
          </cell>
          <cell r="R73">
            <v>1.1932356231980656</v>
          </cell>
        </row>
        <row r="74">
          <cell r="A74">
            <v>2154</v>
          </cell>
          <cell r="B74" t="str">
            <v>WEAPON MAINTENANCE FACILITY, DEPOT</v>
          </cell>
          <cell r="C74" t="str">
            <v>SF</v>
          </cell>
          <cell r="D74" t="str">
            <v>S</v>
          </cell>
          <cell r="F74">
            <v>1.0209999999999999</v>
          </cell>
          <cell r="G74">
            <v>1.0269999999999999</v>
          </cell>
          <cell r="J74">
            <v>1.0049999999999999</v>
          </cell>
          <cell r="M74">
            <v>1.0029999999999999</v>
          </cell>
          <cell r="N74">
            <v>1.0029999999999999</v>
          </cell>
          <cell r="O74">
            <v>1.0209999999999999</v>
          </cell>
          <cell r="P74">
            <v>1.032</v>
          </cell>
          <cell r="Q74">
            <v>1.0349999999999999</v>
          </cell>
          <cell r="R74">
            <v>1.1561386038173773</v>
          </cell>
        </row>
        <row r="75">
          <cell r="A75">
            <v>2161</v>
          </cell>
          <cell r="B75" t="str">
            <v>AMMUNITION MAINTENANCE SHOP</v>
          </cell>
          <cell r="C75" t="str">
            <v>SF</v>
          </cell>
          <cell r="D75" t="str">
            <v>S</v>
          </cell>
          <cell r="F75">
            <v>1.0209999999999999</v>
          </cell>
          <cell r="G75">
            <v>1.0269999999999999</v>
          </cell>
          <cell r="J75">
            <v>1.0049999999999999</v>
          </cell>
          <cell r="M75">
            <v>1.0029999999999999</v>
          </cell>
          <cell r="N75">
            <v>1.0029999999999999</v>
          </cell>
          <cell r="O75">
            <v>1.0209999999999999</v>
          </cell>
          <cell r="P75">
            <v>1.032</v>
          </cell>
          <cell r="Q75">
            <v>1.0349999999999999</v>
          </cell>
          <cell r="R75">
            <v>1.1561386038173773</v>
          </cell>
        </row>
        <row r="76">
          <cell r="A76">
            <v>2162</v>
          </cell>
          <cell r="B76" t="str">
            <v>AMMUNITION MAINTENANCE SHOP, DEPOT</v>
          </cell>
          <cell r="C76" t="str">
            <v>SF</v>
          </cell>
          <cell r="D76" t="str">
            <v>S</v>
          </cell>
          <cell r="F76">
            <v>1.0209999999999999</v>
          </cell>
          <cell r="G76">
            <v>1.0269999999999999</v>
          </cell>
          <cell r="J76">
            <v>1.0049999999999999</v>
          </cell>
          <cell r="M76">
            <v>1.0029999999999999</v>
          </cell>
          <cell r="N76">
            <v>1.0029999999999999</v>
          </cell>
          <cell r="O76">
            <v>1.0209999999999999</v>
          </cell>
          <cell r="P76">
            <v>1.032</v>
          </cell>
          <cell r="Q76">
            <v>1.0349999999999999</v>
          </cell>
          <cell r="R76">
            <v>1.1561386038173773</v>
          </cell>
        </row>
        <row r="77">
          <cell r="A77">
            <v>2163</v>
          </cell>
          <cell r="B77" t="str">
            <v>AMMUNITION MAINTENANCE FACILITY, DEPOT</v>
          </cell>
          <cell r="C77" t="str">
            <v>SF</v>
          </cell>
          <cell r="D77" t="str">
            <v>S</v>
          </cell>
          <cell r="F77">
            <v>1.0209999999999999</v>
          </cell>
          <cell r="G77">
            <v>1.0269999999999999</v>
          </cell>
          <cell r="J77">
            <v>1.0049999999999999</v>
          </cell>
          <cell r="M77">
            <v>1.0029999999999999</v>
          </cell>
          <cell r="N77">
            <v>1.0029999999999999</v>
          </cell>
          <cell r="O77">
            <v>1.0209999999999999</v>
          </cell>
          <cell r="P77">
            <v>1.032</v>
          </cell>
          <cell r="Q77">
            <v>1.0349999999999999</v>
          </cell>
          <cell r="R77">
            <v>1.1561386038173773</v>
          </cell>
        </row>
        <row r="78">
          <cell r="A78">
            <v>2173</v>
          </cell>
          <cell r="B78" t="str">
            <v>ELECTRONIC AND COMMUNICATION MAINTENANCE FACILITY</v>
          </cell>
          <cell r="C78" t="str">
            <v>EA</v>
          </cell>
          <cell r="D78" t="str">
            <v>S</v>
          </cell>
          <cell r="F78">
            <v>1.0209999999999999</v>
          </cell>
          <cell r="G78">
            <v>1.0269999999999999</v>
          </cell>
          <cell r="R78">
            <v>1.0485669999999998</v>
          </cell>
        </row>
        <row r="79">
          <cell r="A79">
            <v>2191</v>
          </cell>
          <cell r="B79" t="str">
            <v>FACILITY ENGINEER MAINTENANCE SHOP</v>
          </cell>
          <cell r="C79" t="str">
            <v>SF</v>
          </cell>
          <cell r="D79" t="str">
            <v>B</v>
          </cell>
          <cell r="E79">
            <v>1.0740000000000001</v>
          </cell>
          <cell r="F79">
            <v>1.0209999999999999</v>
          </cell>
          <cell r="G79">
            <v>1.0269999999999999</v>
          </cell>
          <cell r="J79">
            <v>1.0049999999999999</v>
          </cell>
          <cell r="M79">
            <v>1.0029999999999999</v>
          </cell>
          <cell r="N79">
            <v>1.0029999999999999</v>
          </cell>
          <cell r="O79">
            <v>1.0209999999999999</v>
          </cell>
          <cell r="P79">
            <v>1.032</v>
          </cell>
          <cell r="Q79">
            <v>1.0349999999999999</v>
          </cell>
          <cell r="R79">
            <v>1.2416928604998634</v>
          </cell>
        </row>
        <row r="80">
          <cell r="A80">
            <v>2192</v>
          </cell>
          <cell r="B80" t="str">
            <v>FACILITY ENGINEER MAINTENANCE FACILITY</v>
          </cell>
          <cell r="C80" t="str">
            <v>EA</v>
          </cell>
          <cell r="D80" t="str">
            <v>S</v>
          </cell>
          <cell r="F80">
            <v>1.0209999999999999</v>
          </cell>
          <cell r="G80">
            <v>1.0269999999999999</v>
          </cell>
          <cell r="N80">
            <v>1.0029999999999999</v>
          </cell>
          <cell r="R80">
            <v>1.0517127009999996</v>
          </cell>
        </row>
        <row r="81">
          <cell r="A81">
            <v>2211</v>
          </cell>
          <cell r="B81" t="str">
            <v>AIRCRAFT PRODUCTION PLANT</v>
          </cell>
          <cell r="C81" t="str">
            <v>SF</v>
          </cell>
          <cell r="D81" t="str">
            <v>B</v>
          </cell>
          <cell r="F81">
            <v>1.0209999999999999</v>
          </cell>
          <cell r="G81">
            <v>1.0269999999999999</v>
          </cell>
          <cell r="H81">
            <v>1.0029999999999999</v>
          </cell>
          <cell r="I81">
            <v>1.0289999999999999</v>
          </cell>
          <cell r="J81">
            <v>1.0049999999999999</v>
          </cell>
          <cell r="M81">
            <v>1.0029999999999999</v>
          </cell>
          <cell r="N81">
            <v>1.0029999999999999</v>
          </cell>
          <cell r="O81">
            <v>1.0209999999999999</v>
          </cell>
          <cell r="P81">
            <v>1.032</v>
          </cell>
          <cell r="Q81">
            <v>1.0349999999999999</v>
          </cell>
          <cell r="R81">
            <v>1.1932356231980656</v>
          </cell>
        </row>
        <row r="82">
          <cell r="A82">
            <v>2221</v>
          </cell>
          <cell r="B82" t="str">
            <v>MISSILE PRODUCTION PLANT</v>
          </cell>
          <cell r="C82" t="str">
            <v>SF</v>
          </cell>
          <cell r="D82" t="str">
            <v>B</v>
          </cell>
          <cell r="F82">
            <v>1.0209999999999999</v>
          </cell>
          <cell r="G82">
            <v>1.0269999999999999</v>
          </cell>
          <cell r="H82">
            <v>1.0029999999999999</v>
          </cell>
          <cell r="I82">
            <v>1.0289999999999999</v>
          </cell>
          <cell r="J82">
            <v>1.0049999999999999</v>
          </cell>
          <cell r="M82">
            <v>1.0029999999999999</v>
          </cell>
          <cell r="N82">
            <v>1.0029999999999999</v>
          </cell>
          <cell r="O82">
            <v>1.0209999999999999</v>
          </cell>
          <cell r="P82">
            <v>1.032</v>
          </cell>
          <cell r="Q82">
            <v>1.0349999999999999</v>
          </cell>
          <cell r="R82">
            <v>1.1932356231980656</v>
          </cell>
        </row>
        <row r="83">
          <cell r="A83">
            <v>2231</v>
          </cell>
          <cell r="B83" t="str">
            <v>SHIP PRODUCTION PLANT</v>
          </cell>
          <cell r="C83" t="str">
            <v>SF</v>
          </cell>
          <cell r="D83" t="str">
            <v>B</v>
          </cell>
          <cell r="F83">
            <v>1.0209999999999999</v>
          </cell>
          <cell r="G83">
            <v>1.0269999999999999</v>
          </cell>
          <cell r="H83">
            <v>1.0029999999999999</v>
          </cell>
          <cell r="I83">
            <v>1.0289999999999999</v>
          </cell>
          <cell r="J83">
            <v>1.0049999999999999</v>
          </cell>
          <cell r="M83">
            <v>1.0029999999999999</v>
          </cell>
          <cell r="N83">
            <v>1.0029999999999999</v>
          </cell>
          <cell r="O83">
            <v>1.0209999999999999</v>
          </cell>
          <cell r="P83">
            <v>1.032</v>
          </cell>
          <cell r="Q83">
            <v>1.0349999999999999</v>
          </cell>
          <cell r="R83">
            <v>1.1932356231980656</v>
          </cell>
        </row>
        <row r="84">
          <cell r="A84">
            <v>2241</v>
          </cell>
          <cell r="B84" t="str">
            <v>TANK/AUTOMOTIVE PRODUCTION PLANT</v>
          </cell>
          <cell r="C84" t="str">
            <v>SF</v>
          </cell>
          <cell r="D84" t="str">
            <v>B</v>
          </cell>
          <cell r="F84">
            <v>1.0209999999999999</v>
          </cell>
          <cell r="G84">
            <v>1.0269999999999999</v>
          </cell>
          <cell r="H84">
            <v>1.0029999999999999</v>
          </cell>
          <cell r="I84">
            <v>1.0289999999999999</v>
          </cell>
          <cell r="J84">
            <v>1.0049999999999999</v>
          </cell>
          <cell r="M84">
            <v>1.0029999999999999</v>
          </cell>
          <cell r="N84">
            <v>1.0029999999999999</v>
          </cell>
          <cell r="O84">
            <v>1.0209999999999999</v>
          </cell>
          <cell r="P84">
            <v>1.032</v>
          </cell>
          <cell r="Q84">
            <v>1.0349999999999999</v>
          </cell>
          <cell r="R84">
            <v>1.1932356231980656</v>
          </cell>
        </row>
        <row r="85">
          <cell r="A85">
            <v>2242</v>
          </cell>
          <cell r="B85" t="str">
            <v>TANK/AUTOMOTIVE PRODUCTION FACILITY</v>
          </cell>
          <cell r="C85" t="str">
            <v>SF</v>
          </cell>
          <cell r="D85" t="str">
            <v>S</v>
          </cell>
          <cell r="F85">
            <v>1.0209999999999999</v>
          </cell>
          <cell r="G85">
            <v>1.0269999999999999</v>
          </cell>
          <cell r="P85">
            <v>1.032</v>
          </cell>
          <cell r="Q85">
            <v>1.0349999999999999</v>
          </cell>
          <cell r="R85">
            <v>1.1199953840399997</v>
          </cell>
        </row>
        <row r="86">
          <cell r="A86">
            <v>2251</v>
          </cell>
          <cell r="B86" t="str">
            <v>WEAPON PRODUCTION PLANT</v>
          </cell>
          <cell r="C86" t="str">
            <v>SF</v>
          </cell>
          <cell r="D86" t="str">
            <v>B</v>
          </cell>
          <cell r="F86">
            <v>1.0209999999999999</v>
          </cell>
          <cell r="G86">
            <v>1.0269999999999999</v>
          </cell>
          <cell r="H86">
            <v>1.0029999999999999</v>
          </cell>
          <cell r="I86">
            <v>1.0289999999999999</v>
          </cell>
          <cell r="J86">
            <v>1.0049999999999999</v>
          </cell>
          <cell r="M86">
            <v>1.0029999999999999</v>
          </cell>
          <cell r="N86">
            <v>1.0029999999999999</v>
          </cell>
          <cell r="O86">
            <v>1.0209999999999999</v>
          </cell>
          <cell r="P86">
            <v>1.032</v>
          </cell>
          <cell r="Q86">
            <v>1.0349999999999999</v>
          </cell>
          <cell r="R86">
            <v>1.1932356231980656</v>
          </cell>
        </row>
        <row r="87">
          <cell r="A87">
            <v>2252</v>
          </cell>
          <cell r="B87" t="str">
            <v>WEAPON PRODUCTION FACILITY</v>
          </cell>
          <cell r="C87" t="str">
            <v>SF</v>
          </cell>
          <cell r="D87" t="str">
            <v>S</v>
          </cell>
          <cell r="F87">
            <v>1.0209999999999999</v>
          </cell>
          <cell r="G87">
            <v>1.0269999999999999</v>
          </cell>
          <cell r="H87">
            <v>1.0029999999999999</v>
          </cell>
          <cell r="I87">
            <v>1.0289999999999999</v>
          </cell>
          <cell r="J87">
            <v>1.0049999999999999</v>
          </cell>
          <cell r="M87">
            <v>1.0029999999999999</v>
          </cell>
          <cell r="N87">
            <v>1.0029999999999999</v>
          </cell>
          <cell r="O87">
            <v>1.0209999999999999</v>
          </cell>
          <cell r="P87">
            <v>1.032</v>
          </cell>
          <cell r="Q87">
            <v>1.0349999999999999</v>
          </cell>
          <cell r="R87">
            <v>1.1932356231980656</v>
          </cell>
        </row>
        <row r="88">
          <cell r="A88">
            <v>2261</v>
          </cell>
          <cell r="B88" t="str">
            <v>AMMUNITION PRODUCTION PLANT</v>
          </cell>
          <cell r="C88" t="str">
            <v>SF</v>
          </cell>
          <cell r="D88" t="str">
            <v>B</v>
          </cell>
          <cell r="F88">
            <v>1.0209999999999999</v>
          </cell>
          <cell r="G88">
            <v>1.0269999999999999</v>
          </cell>
          <cell r="H88">
            <v>1.0029999999999999</v>
          </cell>
          <cell r="I88">
            <v>1.0289999999999999</v>
          </cell>
          <cell r="J88">
            <v>1.0049999999999999</v>
          </cell>
          <cell r="M88">
            <v>1.0029999999999999</v>
          </cell>
          <cell r="N88">
            <v>1.0029999999999999</v>
          </cell>
          <cell r="O88">
            <v>1.0209999999999999</v>
          </cell>
          <cell r="P88">
            <v>1.032</v>
          </cell>
          <cell r="Q88">
            <v>1.0349999999999999</v>
          </cell>
          <cell r="R88">
            <v>1.1932356231980656</v>
          </cell>
        </row>
        <row r="89">
          <cell r="A89">
            <v>2262</v>
          </cell>
          <cell r="B89" t="str">
            <v>AMMUNITION PRODUCTION FACILITY</v>
          </cell>
          <cell r="C89" t="str">
            <v>SF</v>
          </cell>
          <cell r="D89" t="str">
            <v>S</v>
          </cell>
          <cell r="F89">
            <v>1.0209999999999999</v>
          </cell>
          <cell r="P89">
            <v>1.032</v>
          </cell>
          <cell r="Q89">
            <v>1.0349999999999999</v>
          </cell>
          <cell r="R89">
            <v>1.0905505199999999</v>
          </cell>
        </row>
        <row r="90">
          <cell r="A90">
            <v>2271</v>
          </cell>
          <cell r="B90" t="str">
            <v>ELECTRONIC AND COMMUNICATION PRODUCTION PLANT</v>
          </cell>
          <cell r="C90" t="str">
            <v>SF</v>
          </cell>
          <cell r="D90" t="str">
            <v>B</v>
          </cell>
          <cell r="F90">
            <v>1.0209999999999999</v>
          </cell>
          <cell r="G90">
            <v>1.0269999999999999</v>
          </cell>
          <cell r="H90">
            <v>1.0029999999999999</v>
          </cell>
          <cell r="I90">
            <v>1.0289999999999999</v>
          </cell>
          <cell r="J90">
            <v>1.0049999999999999</v>
          </cell>
          <cell r="M90">
            <v>1.0029999999999999</v>
          </cell>
          <cell r="N90">
            <v>1.0029999999999999</v>
          </cell>
          <cell r="O90">
            <v>1.0209999999999999</v>
          </cell>
          <cell r="P90">
            <v>1.032</v>
          </cell>
          <cell r="Q90">
            <v>1.0349999999999999</v>
          </cell>
          <cell r="R90">
            <v>1.1932356231980656</v>
          </cell>
        </row>
        <row r="91">
          <cell r="A91">
            <v>2281</v>
          </cell>
          <cell r="B91" t="str">
            <v>MISCELLANEOUS SUPPORT PRODUCTION PLANT</v>
          </cell>
          <cell r="C91" t="str">
            <v>SF</v>
          </cell>
          <cell r="D91" t="str">
            <v>B</v>
          </cell>
          <cell r="F91">
            <v>1.0209999999999999</v>
          </cell>
          <cell r="G91">
            <v>1.0269999999999999</v>
          </cell>
          <cell r="H91">
            <v>1.0029999999999999</v>
          </cell>
          <cell r="I91">
            <v>1.0289999999999999</v>
          </cell>
          <cell r="J91">
            <v>1.0049999999999999</v>
          </cell>
          <cell r="M91">
            <v>1.0029999999999999</v>
          </cell>
          <cell r="N91">
            <v>1.0029999999999999</v>
          </cell>
          <cell r="O91">
            <v>1.0209999999999999</v>
          </cell>
          <cell r="P91">
            <v>1.032</v>
          </cell>
          <cell r="Q91">
            <v>1.0349999999999999</v>
          </cell>
          <cell r="R91">
            <v>1.1932356231980656</v>
          </cell>
        </row>
        <row r="92">
          <cell r="A92">
            <v>2291</v>
          </cell>
          <cell r="B92" t="str">
            <v>CONSTRUCTION MATERIAL PRODUCTION PLANT</v>
          </cell>
          <cell r="C92" t="str">
            <v>EA</v>
          </cell>
          <cell r="D92" t="str">
            <v>S</v>
          </cell>
          <cell r="F92">
            <v>1.0209999999999999</v>
          </cell>
          <cell r="G92">
            <v>1.0269999999999999</v>
          </cell>
          <cell r="N92">
            <v>1.0029999999999999</v>
          </cell>
          <cell r="P92">
            <v>1.032</v>
          </cell>
          <cell r="Q92">
            <v>1.0349999999999999</v>
          </cell>
          <cell r="R92">
            <v>1.1233553701921195</v>
          </cell>
        </row>
        <row r="93">
          <cell r="A93">
            <v>3101</v>
          </cell>
          <cell r="B93" t="str">
            <v>RDT&amp;E LABORATORY</v>
          </cell>
          <cell r="C93" t="str">
            <v>SF</v>
          </cell>
          <cell r="D93" t="str">
            <v>B</v>
          </cell>
          <cell r="E93">
            <v>1.0740000000000001</v>
          </cell>
          <cell r="F93">
            <v>1.0209999999999999</v>
          </cell>
          <cell r="G93">
            <v>1.0269999999999999</v>
          </cell>
          <cell r="H93">
            <v>1.0029999999999999</v>
          </cell>
          <cell r="I93">
            <v>1.0289999999999999</v>
          </cell>
          <cell r="J93">
            <v>1.0049999999999999</v>
          </cell>
          <cell r="K93">
            <v>1.026</v>
          </cell>
          <cell r="L93">
            <v>1.0129999999999999</v>
          </cell>
          <cell r="M93">
            <v>1.0029999999999999</v>
          </cell>
          <cell r="N93">
            <v>1.0029999999999999</v>
          </cell>
          <cell r="O93">
            <v>1.0209999999999999</v>
          </cell>
          <cell r="P93">
            <v>1.032</v>
          </cell>
          <cell r="Q93">
            <v>1.0349999999999999</v>
          </cell>
          <cell r="R93">
            <v>1.3319480854780448</v>
          </cell>
        </row>
        <row r="94">
          <cell r="A94">
            <v>3102</v>
          </cell>
          <cell r="B94" t="str">
            <v>MEDICAL RESEARCH LABORATORY</v>
          </cell>
          <cell r="C94" t="str">
            <v>SF</v>
          </cell>
          <cell r="D94" t="str">
            <v>B</v>
          </cell>
          <cell r="E94">
            <v>1.0740000000000001</v>
          </cell>
          <cell r="F94">
            <v>1.0209999999999999</v>
          </cell>
          <cell r="G94">
            <v>1.0269999999999999</v>
          </cell>
          <cell r="H94">
            <v>1.0029999999999999</v>
          </cell>
          <cell r="I94">
            <v>1.0289999999999999</v>
          </cell>
          <cell r="J94">
            <v>1.0049999999999999</v>
          </cell>
          <cell r="K94">
            <v>1.026</v>
          </cell>
          <cell r="L94">
            <v>1.0129999999999999</v>
          </cell>
          <cell r="M94">
            <v>1.0029999999999999</v>
          </cell>
          <cell r="N94">
            <v>1.0029999999999999</v>
          </cell>
          <cell r="O94">
            <v>1.0209999999999999</v>
          </cell>
          <cell r="P94">
            <v>1.032</v>
          </cell>
          <cell r="Q94">
            <v>1.0349999999999999</v>
          </cell>
          <cell r="R94">
            <v>1.3319480854780448</v>
          </cell>
        </row>
        <row r="95">
          <cell r="A95">
            <v>3103</v>
          </cell>
          <cell r="B95" t="str">
            <v>BIOSAFETY LEVEL 3 LABORATORY</v>
          </cell>
          <cell r="C95" t="str">
            <v>SF</v>
          </cell>
          <cell r="D95" t="str">
            <v>B</v>
          </cell>
          <cell r="E95">
            <v>1.0740000000000001</v>
          </cell>
          <cell r="F95">
            <v>1.0209999999999999</v>
          </cell>
          <cell r="G95">
            <v>1.0269999999999999</v>
          </cell>
          <cell r="H95">
            <v>1.0029999999999999</v>
          </cell>
          <cell r="I95">
            <v>1.0289999999999999</v>
          </cell>
          <cell r="J95">
            <v>1.0049999999999999</v>
          </cell>
          <cell r="K95">
            <v>1.026</v>
          </cell>
          <cell r="L95">
            <v>1.0129999999999999</v>
          </cell>
          <cell r="M95">
            <v>1.0029999999999999</v>
          </cell>
          <cell r="N95">
            <v>1.0029999999999999</v>
          </cell>
          <cell r="O95">
            <v>1.0209999999999999</v>
          </cell>
          <cell r="P95">
            <v>1.032</v>
          </cell>
          <cell r="Q95">
            <v>1.0349999999999999</v>
          </cell>
          <cell r="R95">
            <v>1.3319480854780448</v>
          </cell>
        </row>
        <row r="96">
          <cell r="A96">
            <v>3104</v>
          </cell>
          <cell r="B96" t="str">
            <v>BIOSAFETY LEVEL 4 LABORATORY</v>
          </cell>
          <cell r="C96" t="str">
            <v>SF</v>
          </cell>
          <cell r="D96" t="str">
            <v>B</v>
          </cell>
          <cell r="E96">
            <v>1.0740000000000001</v>
          </cell>
          <cell r="F96">
            <v>1.0209999999999999</v>
          </cell>
          <cell r="G96">
            <v>1.0269999999999999</v>
          </cell>
          <cell r="H96">
            <v>1.0029999999999999</v>
          </cell>
          <cell r="I96">
            <v>1.0289999999999999</v>
          </cell>
          <cell r="J96">
            <v>1.0049999999999999</v>
          </cell>
          <cell r="K96">
            <v>1.026</v>
          </cell>
          <cell r="L96">
            <v>1.0129999999999999</v>
          </cell>
          <cell r="M96">
            <v>1.0029999999999999</v>
          </cell>
          <cell r="N96">
            <v>1.0029999999999999</v>
          </cell>
          <cell r="O96">
            <v>1.0209999999999999</v>
          </cell>
          <cell r="P96">
            <v>1.032</v>
          </cell>
          <cell r="Q96">
            <v>1.0349999999999999</v>
          </cell>
          <cell r="R96">
            <v>1.3319480854780448</v>
          </cell>
        </row>
        <row r="97">
          <cell r="A97">
            <v>3131</v>
          </cell>
          <cell r="B97" t="str">
            <v>SHIP AND MARINE RDT&amp;E FACILITY</v>
          </cell>
          <cell r="C97" t="str">
            <v>SF</v>
          </cell>
          <cell r="D97" t="str">
            <v>B</v>
          </cell>
          <cell r="E97">
            <v>1.0740000000000001</v>
          </cell>
          <cell r="F97">
            <v>1.0209999999999999</v>
          </cell>
          <cell r="G97">
            <v>1.0269999999999999</v>
          </cell>
          <cell r="H97">
            <v>1.0029999999999999</v>
          </cell>
          <cell r="I97">
            <v>1.0289999999999999</v>
          </cell>
          <cell r="J97">
            <v>1.0049999999999999</v>
          </cell>
          <cell r="K97">
            <v>1.026</v>
          </cell>
          <cell r="L97">
            <v>1.0129999999999999</v>
          </cell>
          <cell r="M97">
            <v>1.0029999999999999</v>
          </cell>
          <cell r="N97">
            <v>1.0029999999999999</v>
          </cell>
          <cell r="O97">
            <v>1.0209999999999999</v>
          </cell>
          <cell r="P97">
            <v>1.032</v>
          </cell>
          <cell r="Q97">
            <v>1.0349999999999999</v>
          </cell>
          <cell r="R97">
            <v>1.3319480854780448</v>
          </cell>
        </row>
        <row r="98">
          <cell r="A98">
            <v>3141</v>
          </cell>
          <cell r="B98" t="str">
            <v>TANK AND AUTOMOTIVE RDT&amp;E FACILITY</v>
          </cell>
          <cell r="C98" t="str">
            <v>SF</v>
          </cell>
          <cell r="D98" t="str">
            <v>B</v>
          </cell>
          <cell r="E98">
            <v>1.0740000000000001</v>
          </cell>
          <cell r="F98">
            <v>1.0209999999999999</v>
          </cell>
          <cell r="G98">
            <v>1.0269999999999999</v>
          </cell>
          <cell r="H98">
            <v>1.0029999999999999</v>
          </cell>
          <cell r="I98">
            <v>1.0289999999999999</v>
          </cell>
          <cell r="J98">
            <v>1.0049999999999999</v>
          </cell>
          <cell r="K98">
            <v>1.026</v>
          </cell>
          <cell r="L98">
            <v>1.0129999999999999</v>
          </cell>
          <cell r="M98">
            <v>1.0029999999999999</v>
          </cell>
          <cell r="N98">
            <v>1.0029999999999999</v>
          </cell>
          <cell r="O98">
            <v>1.0209999999999999</v>
          </cell>
          <cell r="P98">
            <v>1.032</v>
          </cell>
          <cell r="Q98">
            <v>1.0349999999999999</v>
          </cell>
          <cell r="R98">
            <v>1.3319480854780448</v>
          </cell>
        </row>
        <row r="99">
          <cell r="A99">
            <v>3151</v>
          </cell>
          <cell r="B99" t="str">
            <v>WEAPONS RDT&amp;E FACILITY</v>
          </cell>
          <cell r="C99" t="str">
            <v>SF</v>
          </cell>
          <cell r="D99" t="str">
            <v>B</v>
          </cell>
          <cell r="E99">
            <v>1.0740000000000001</v>
          </cell>
          <cell r="F99">
            <v>1.0209999999999999</v>
          </cell>
          <cell r="G99">
            <v>1.0269999999999999</v>
          </cell>
          <cell r="H99">
            <v>1.0029999999999999</v>
          </cell>
          <cell r="I99">
            <v>1.0289999999999999</v>
          </cell>
          <cell r="J99">
            <v>1.0049999999999999</v>
          </cell>
          <cell r="K99">
            <v>1.026</v>
          </cell>
          <cell r="L99">
            <v>1.0129999999999999</v>
          </cell>
          <cell r="M99">
            <v>1.0029999999999999</v>
          </cell>
          <cell r="N99">
            <v>1.0029999999999999</v>
          </cell>
          <cell r="O99">
            <v>1.0209999999999999</v>
          </cell>
          <cell r="P99">
            <v>1.032</v>
          </cell>
          <cell r="Q99">
            <v>1.0349999999999999</v>
          </cell>
          <cell r="R99">
            <v>1.3319480854780448</v>
          </cell>
        </row>
        <row r="100">
          <cell r="A100">
            <v>3161</v>
          </cell>
          <cell r="B100" t="str">
            <v>AMMUNITION, EXPLOSIVE, AND TOXIC RDT&amp;E FACILITY</v>
          </cell>
          <cell r="C100" t="str">
            <v>SF</v>
          </cell>
          <cell r="D100" t="str">
            <v>B</v>
          </cell>
          <cell r="E100">
            <v>1.0740000000000001</v>
          </cell>
          <cell r="F100">
            <v>1.0209999999999999</v>
          </cell>
          <cell r="G100">
            <v>1.0269999999999999</v>
          </cell>
          <cell r="H100">
            <v>1.0029999999999999</v>
          </cell>
          <cell r="I100">
            <v>1.0289999999999999</v>
          </cell>
          <cell r="J100">
            <v>1.0049999999999999</v>
          </cell>
          <cell r="K100">
            <v>1.026</v>
          </cell>
          <cell r="L100">
            <v>1.0129999999999999</v>
          </cell>
          <cell r="M100">
            <v>1.0029999999999999</v>
          </cell>
          <cell r="N100">
            <v>1.0029999999999999</v>
          </cell>
          <cell r="O100">
            <v>1.0209999999999999</v>
          </cell>
          <cell r="P100">
            <v>1.032</v>
          </cell>
          <cell r="Q100">
            <v>1.0349999999999999</v>
          </cell>
          <cell r="R100">
            <v>1.3319480854780448</v>
          </cell>
        </row>
        <row r="101">
          <cell r="A101">
            <v>3171</v>
          </cell>
          <cell r="B101" t="str">
            <v>ELECTRONIC AND COMMUNICATION RDT&amp;E FACILITY</v>
          </cell>
          <cell r="C101" t="str">
            <v>SF</v>
          </cell>
          <cell r="D101" t="str">
            <v>B</v>
          </cell>
          <cell r="E101">
            <v>1.0740000000000001</v>
          </cell>
          <cell r="F101">
            <v>1.0209999999999999</v>
          </cell>
          <cell r="G101">
            <v>1.0269999999999999</v>
          </cell>
          <cell r="H101">
            <v>1.0029999999999999</v>
          </cell>
          <cell r="I101">
            <v>1.0289999999999999</v>
          </cell>
          <cell r="J101">
            <v>1.0049999999999999</v>
          </cell>
          <cell r="K101">
            <v>1.026</v>
          </cell>
          <cell r="L101">
            <v>1.0129999999999999</v>
          </cell>
          <cell r="M101">
            <v>1.0029999999999999</v>
          </cell>
          <cell r="N101">
            <v>1.0029999999999999</v>
          </cell>
          <cell r="O101">
            <v>1.0209999999999999</v>
          </cell>
          <cell r="P101">
            <v>1.032</v>
          </cell>
          <cell r="Q101">
            <v>1.0349999999999999</v>
          </cell>
          <cell r="R101">
            <v>1.3319480854780448</v>
          </cell>
        </row>
        <row r="102">
          <cell r="A102">
            <v>3181</v>
          </cell>
          <cell r="B102" t="str">
            <v>PROPULSION RDT&amp;E FACILITY</v>
          </cell>
          <cell r="C102" t="str">
            <v>SF</v>
          </cell>
          <cell r="D102" t="str">
            <v>B</v>
          </cell>
          <cell r="E102">
            <v>1.0740000000000001</v>
          </cell>
          <cell r="F102">
            <v>1.0209999999999999</v>
          </cell>
          <cell r="H102">
            <v>1.0029999999999999</v>
          </cell>
          <cell r="I102">
            <v>1.0289999999999999</v>
          </cell>
          <cell r="J102">
            <v>1.0049999999999999</v>
          </cell>
          <cell r="K102">
            <v>1.026</v>
          </cell>
          <cell r="L102">
            <v>1.0129999999999999</v>
          </cell>
          <cell r="M102">
            <v>1.0029999999999999</v>
          </cell>
          <cell r="N102">
            <v>1.0029999999999999</v>
          </cell>
          <cell r="O102">
            <v>1.0209999999999999</v>
          </cell>
          <cell r="P102">
            <v>1.032</v>
          </cell>
          <cell r="Q102">
            <v>1.0349999999999999</v>
          </cell>
          <cell r="R102">
            <v>1.2969309498325658</v>
          </cell>
        </row>
        <row r="103">
          <cell r="A103">
            <v>3191</v>
          </cell>
          <cell r="B103" t="str">
            <v>MISCELLANEOUS ITEM AND EQUIPMENT RDT&amp;E FACILITY</v>
          </cell>
          <cell r="C103" t="str">
            <v>SF</v>
          </cell>
          <cell r="D103" t="str">
            <v>B</v>
          </cell>
          <cell r="E103">
            <v>1.0740000000000001</v>
          </cell>
          <cell r="F103">
            <v>1.0209999999999999</v>
          </cell>
          <cell r="G103">
            <v>1.0269999999999999</v>
          </cell>
          <cell r="H103">
            <v>1.0029999999999999</v>
          </cell>
          <cell r="I103">
            <v>1.0289999999999999</v>
          </cell>
          <cell r="J103">
            <v>1.0049999999999999</v>
          </cell>
          <cell r="K103">
            <v>1.026</v>
          </cell>
          <cell r="L103">
            <v>1.0129999999999999</v>
          </cell>
          <cell r="M103">
            <v>1.0029999999999999</v>
          </cell>
          <cell r="N103">
            <v>1.0029999999999999</v>
          </cell>
          <cell r="O103">
            <v>1.0209999999999999</v>
          </cell>
          <cell r="P103">
            <v>1.032</v>
          </cell>
          <cell r="Q103">
            <v>1.0349999999999999</v>
          </cell>
          <cell r="R103">
            <v>1.3319480854780448</v>
          </cell>
        </row>
        <row r="104">
          <cell r="A104">
            <v>3201</v>
          </cell>
          <cell r="B104" t="str">
            <v>UNDERWATER EQUIPMENT RDT&amp;E FACILITY</v>
          </cell>
          <cell r="C104" t="str">
            <v>SF</v>
          </cell>
          <cell r="D104" t="str">
            <v>B</v>
          </cell>
          <cell r="E104">
            <v>1.0740000000000001</v>
          </cell>
          <cell r="F104">
            <v>1.0209999999999999</v>
          </cell>
          <cell r="G104">
            <v>1.0269999999999999</v>
          </cell>
          <cell r="H104">
            <v>1.0029999999999999</v>
          </cell>
          <cell r="I104">
            <v>1.0289999999999999</v>
          </cell>
          <cell r="J104">
            <v>1.0049999999999999</v>
          </cell>
          <cell r="K104">
            <v>1.026</v>
          </cell>
          <cell r="L104">
            <v>1.0129999999999999</v>
          </cell>
          <cell r="M104">
            <v>1.0029999999999999</v>
          </cell>
          <cell r="N104">
            <v>1.0029999999999999</v>
          </cell>
          <cell r="O104">
            <v>1.0209999999999999</v>
          </cell>
          <cell r="P104">
            <v>1.032</v>
          </cell>
          <cell r="Q104">
            <v>1.0349999999999999</v>
          </cell>
          <cell r="R104">
            <v>1.3319480854780448</v>
          </cell>
        </row>
        <row r="105">
          <cell r="A105">
            <v>4114</v>
          </cell>
          <cell r="B105" t="str">
            <v>SMALL BULK STORAGE</v>
          </cell>
          <cell r="C105" t="str">
            <v>GA</v>
          </cell>
          <cell r="D105" t="str">
            <v>S</v>
          </cell>
          <cell r="F105">
            <v>1.0209999999999999</v>
          </cell>
          <cell r="R105">
            <v>1.0209999999999999</v>
          </cell>
        </row>
        <row r="106">
          <cell r="A106">
            <v>4212</v>
          </cell>
          <cell r="B106" t="str">
            <v>INTERCONTINENTAL BALLISTIC MISSILE STORAGE FACILITY</v>
          </cell>
          <cell r="C106" t="str">
            <v>SF</v>
          </cell>
          <cell r="D106" t="str">
            <v>B</v>
          </cell>
          <cell r="F106">
            <v>1.0209999999999999</v>
          </cell>
          <cell r="G106">
            <v>1.0269999999999999</v>
          </cell>
          <cell r="H106">
            <v>1.0029999999999999</v>
          </cell>
          <cell r="I106">
            <v>1.0289999999999999</v>
          </cell>
          <cell r="J106">
            <v>1.0049999999999999</v>
          </cell>
          <cell r="M106">
            <v>1.0029999999999999</v>
          </cell>
          <cell r="N106">
            <v>1.0029999999999999</v>
          </cell>
          <cell r="O106">
            <v>1.0209999999999999</v>
          </cell>
          <cell r="P106">
            <v>1.032</v>
          </cell>
          <cell r="Q106">
            <v>1.0349999999999999</v>
          </cell>
          <cell r="R106">
            <v>1.1932356231980656</v>
          </cell>
        </row>
        <row r="107">
          <cell r="A107">
            <v>4231</v>
          </cell>
          <cell r="B107" t="str">
            <v>LIQUID PROPELLANT STORAGE, AMMUNITION RELATED</v>
          </cell>
          <cell r="C107" t="str">
            <v>GA</v>
          </cell>
          <cell r="D107" t="str">
            <v>S</v>
          </cell>
          <cell r="F107">
            <v>1.0209999999999999</v>
          </cell>
          <cell r="R107">
            <v>1.0209999999999999</v>
          </cell>
        </row>
        <row r="108">
          <cell r="A108">
            <v>4251</v>
          </cell>
          <cell r="B108" t="str">
            <v>OPEN AMMUNITION STORAGE</v>
          </cell>
          <cell r="C108" t="str">
            <v>SY</v>
          </cell>
          <cell r="D108" t="str">
            <v>S</v>
          </cell>
          <cell r="F108">
            <v>1.0209999999999999</v>
          </cell>
          <cell r="P108">
            <v>1.032</v>
          </cell>
          <cell r="Q108">
            <v>1.0349999999999999</v>
          </cell>
          <cell r="R108">
            <v>1.0905505199999999</v>
          </cell>
        </row>
        <row r="109">
          <cell r="A109">
            <v>4311</v>
          </cell>
          <cell r="B109" t="str">
            <v>COLD STORAGE, DEPOT</v>
          </cell>
          <cell r="C109" t="str">
            <v>SF</v>
          </cell>
          <cell r="D109" t="str">
            <v>B</v>
          </cell>
          <cell r="F109">
            <v>1.0209999999999999</v>
          </cell>
          <cell r="G109">
            <v>1.0269999999999999</v>
          </cell>
          <cell r="H109">
            <v>1.0029999999999999</v>
          </cell>
          <cell r="I109">
            <v>1.0289999999999999</v>
          </cell>
          <cell r="J109">
            <v>1.0049999999999999</v>
          </cell>
          <cell r="M109">
            <v>1.0029999999999999</v>
          </cell>
          <cell r="N109">
            <v>1.0029999999999999</v>
          </cell>
          <cell r="P109">
            <v>1.032</v>
          </cell>
          <cell r="Q109">
            <v>1.0349999999999999</v>
          </cell>
          <cell r="R109">
            <v>1.168693068754227</v>
          </cell>
        </row>
        <row r="110">
          <cell r="A110">
            <v>4321</v>
          </cell>
          <cell r="B110" t="str">
            <v>COLD STORAGE, INSTALLATION</v>
          </cell>
          <cell r="C110" t="str">
            <v>SF</v>
          </cell>
          <cell r="D110" t="str">
            <v>B</v>
          </cell>
          <cell r="F110">
            <v>1.0209999999999999</v>
          </cell>
          <cell r="G110">
            <v>1.0269999999999999</v>
          </cell>
          <cell r="I110">
            <v>1.0289999999999999</v>
          </cell>
          <cell r="J110">
            <v>1.0049999999999999</v>
          </cell>
          <cell r="M110">
            <v>1.0029999999999999</v>
          </cell>
          <cell r="N110">
            <v>1.0029999999999999</v>
          </cell>
          <cell r="P110">
            <v>1.032</v>
          </cell>
          <cell r="Q110">
            <v>1.0349999999999999</v>
          </cell>
          <cell r="R110">
            <v>1.1651974763252515</v>
          </cell>
        </row>
        <row r="111">
          <cell r="A111">
            <v>4414</v>
          </cell>
          <cell r="B111" t="str">
            <v>CONTROLLED HUMIDITY STORAGE, DEPOT</v>
          </cell>
          <cell r="C111" t="str">
            <v>SF</v>
          </cell>
          <cell r="D111" t="str">
            <v>B</v>
          </cell>
          <cell r="F111">
            <v>1.0209999999999999</v>
          </cell>
          <cell r="G111">
            <v>1.0269999999999999</v>
          </cell>
          <cell r="H111">
            <v>1.0029999999999999</v>
          </cell>
          <cell r="I111">
            <v>1.0289999999999999</v>
          </cell>
          <cell r="J111">
            <v>1.0049999999999999</v>
          </cell>
          <cell r="M111">
            <v>1.0029999999999999</v>
          </cell>
          <cell r="N111">
            <v>1.0029999999999999</v>
          </cell>
          <cell r="P111">
            <v>1.032</v>
          </cell>
          <cell r="Q111">
            <v>1.0349999999999999</v>
          </cell>
          <cell r="R111">
            <v>1.168693068754227</v>
          </cell>
        </row>
        <row r="112">
          <cell r="A112">
            <v>4424</v>
          </cell>
          <cell r="B112" t="str">
            <v>CONTROLLED HUMIDITY STORAGE, INSTALLATION</v>
          </cell>
          <cell r="C112" t="str">
            <v>SF</v>
          </cell>
          <cell r="D112" t="str">
            <v>B</v>
          </cell>
          <cell r="F112">
            <v>1.0209999999999999</v>
          </cell>
          <cell r="G112">
            <v>1.0269999999999999</v>
          </cell>
          <cell r="H112">
            <v>1.0029999999999999</v>
          </cell>
          <cell r="I112">
            <v>1.0289999999999999</v>
          </cell>
          <cell r="J112">
            <v>1.0049999999999999</v>
          </cell>
          <cell r="M112">
            <v>1.0029999999999999</v>
          </cell>
          <cell r="N112">
            <v>1.0029999999999999</v>
          </cell>
          <cell r="P112">
            <v>1.032</v>
          </cell>
          <cell r="Q112">
            <v>1.0349999999999999</v>
          </cell>
          <cell r="R112">
            <v>1.168693068754227</v>
          </cell>
        </row>
        <row r="113">
          <cell r="A113">
            <v>4425</v>
          </cell>
          <cell r="B113" t="str">
            <v>VEHICLE STORAGE, COVERED</v>
          </cell>
          <cell r="C113" t="str">
            <v>SF</v>
          </cell>
          <cell r="D113" t="str">
            <v>B</v>
          </cell>
          <cell r="F113">
            <v>1.0209999999999999</v>
          </cell>
          <cell r="G113">
            <v>1.0269999999999999</v>
          </cell>
          <cell r="J113">
            <v>1.0049999999999999</v>
          </cell>
          <cell r="P113">
            <v>1.032</v>
          </cell>
          <cell r="Q113">
            <v>1.0349999999999999</v>
          </cell>
          <cell r="R113">
            <v>1.1255953609601996</v>
          </cell>
        </row>
        <row r="114">
          <cell r="A114">
            <v>4426</v>
          </cell>
          <cell r="B114" t="str">
            <v>STORAGE SILO, LOOSE MATERIAL</v>
          </cell>
          <cell r="C114" t="str">
            <v>SF</v>
          </cell>
          <cell r="D114" t="str">
            <v>B</v>
          </cell>
          <cell r="F114">
            <v>1.0209999999999999</v>
          </cell>
          <cell r="P114">
            <v>1.032</v>
          </cell>
          <cell r="Q114">
            <v>1.0349999999999999</v>
          </cell>
          <cell r="R114">
            <v>1.0905505199999999</v>
          </cell>
        </row>
        <row r="115">
          <cell r="A115">
            <v>4428</v>
          </cell>
          <cell r="B115" t="str">
            <v>STORAGE AND CUSTOMER SERVICE</v>
          </cell>
          <cell r="C115" t="str">
            <v>SF</v>
          </cell>
          <cell r="D115" t="str">
            <v>B</v>
          </cell>
          <cell r="F115">
            <v>1.0209999999999999</v>
          </cell>
          <cell r="J115">
            <v>1.0049999999999999</v>
          </cell>
          <cell r="M115">
            <v>1.0029999999999999</v>
          </cell>
          <cell r="N115">
            <v>1.0029999999999999</v>
          </cell>
          <cell r="P115">
            <v>1.032</v>
          </cell>
          <cell r="Q115">
            <v>1.0349999999999999</v>
          </cell>
          <cell r="R115">
            <v>1.1025891562650529</v>
          </cell>
        </row>
        <row r="116">
          <cell r="A116">
            <v>4511</v>
          </cell>
          <cell r="B116" t="str">
            <v>OPEN STORAGE, DEPOT</v>
          </cell>
          <cell r="C116" t="str">
            <v>SY</v>
          </cell>
          <cell r="D116" t="str">
            <v>S</v>
          </cell>
          <cell r="F116">
            <v>1.0209999999999999</v>
          </cell>
          <cell r="P116">
            <v>1.032</v>
          </cell>
          <cell r="Q116">
            <v>1.0349999999999999</v>
          </cell>
          <cell r="R116">
            <v>1.0905505199999999</v>
          </cell>
        </row>
        <row r="117">
          <cell r="A117">
            <v>4521</v>
          </cell>
          <cell r="B117" t="str">
            <v>OPEN STORAGE, INSTALLATION</v>
          </cell>
          <cell r="C117" t="str">
            <v>SY</v>
          </cell>
          <cell r="D117" t="str">
            <v>S</v>
          </cell>
          <cell r="F117">
            <v>1.0209999999999999</v>
          </cell>
          <cell r="P117">
            <v>1.032</v>
          </cell>
          <cell r="Q117">
            <v>1.0349999999999999</v>
          </cell>
          <cell r="R117">
            <v>1.0905505199999999</v>
          </cell>
        </row>
        <row r="118">
          <cell r="A118">
            <v>5302</v>
          </cell>
          <cell r="B118" t="str">
            <v>MEDICAL LABORATORY</v>
          </cell>
          <cell r="C118" t="str">
            <v>SF</v>
          </cell>
          <cell r="D118" t="str">
            <v>B</v>
          </cell>
          <cell r="E118">
            <v>1.0740000000000001</v>
          </cell>
          <cell r="F118">
            <v>1.0209999999999999</v>
          </cell>
          <cell r="G118">
            <v>1.0269999999999999</v>
          </cell>
          <cell r="H118">
            <v>1.0029999999999999</v>
          </cell>
          <cell r="I118">
            <v>1.0289999999999999</v>
          </cell>
          <cell r="J118">
            <v>1.0049999999999999</v>
          </cell>
          <cell r="K118">
            <v>1.026</v>
          </cell>
          <cell r="L118">
            <v>1.0129999999999999</v>
          </cell>
          <cell r="M118">
            <v>1.0029999999999999</v>
          </cell>
          <cell r="N118">
            <v>1.0029999999999999</v>
          </cell>
          <cell r="O118">
            <v>1.0209999999999999</v>
          </cell>
          <cell r="P118">
            <v>1.032</v>
          </cell>
          <cell r="Q118">
            <v>1.0349999999999999</v>
          </cell>
          <cell r="R118">
            <v>1.3319480854780448</v>
          </cell>
        </row>
        <row r="119">
          <cell r="A119">
            <v>5303</v>
          </cell>
          <cell r="B119" t="str">
            <v>MORGUE</v>
          </cell>
          <cell r="C119" t="str">
            <v>SF</v>
          </cell>
          <cell r="D119" t="str">
            <v>B</v>
          </cell>
          <cell r="E119">
            <v>1.0740000000000001</v>
          </cell>
          <cell r="F119">
            <v>1.0209999999999999</v>
          </cell>
          <cell r="G119">
            <v>1.0269999999999999</v>
          </cell>
          <cell r="H119">
            <v>1.0029999999999999</v>
          </cell>
          <cell r="I119">
            <v>1.0289999999999999</v>
          </cell>
          <cell r="J119">
            <v>1.0049999999999999</v>
          </cell>
          <cell r="K119">
            <v>1.026</v>
          </cell>
          <cell r="L119">
            <v>1.0129999999999999</v>
          </cell>
          <cell r="M119">
            <v>1.0029999999999999</v>
          </cell>
          <cell r="N119">
            <v>1.0029999999999999</v>
          </cell>
          <cell r="O119">
            <v>1.0209999999999999</v>
          </cell>
          <cell r="P119">
            <v>1.032</v>
          </cell>
          <cell r="Q119">
            <v>1.0349999999999999</v>
          </cell>
          <cell r="R119">
            <v>1.3319480854780448</v>
          </cell>
        </row>
        <row r="120">
          <cell r="A120">
            <v>5304</v>
          </cell>
          <cell r="B120" t="str">
            <v>VETERINARY FACILITY</v>
          </cell>
          <cell r="C120" t="str">
            <v>SF</v>
          </cell>
          <cell r="D120" t="str">
            <v>B</v>
          </cell>
          <cell r="E120">
            <v>1.0740000000000001</v>
          </cell>
          <cell r="F120">
            <v>1.0209999999999999</v>
          </cell>
          <cell r="G120">
            <v>1.0269999999999999</v>
          </cell>
          <cell r="H120">
            <v>1.0029999999999999</v>
          </cell>
          <cell r="I120">
            <v>1.0289999999999999</v>
          </cell>
          <cell r="J120">
            <v>1.0049999999999999</v>
          </cell>
          <cell r="K120">
            <v>1.026</v>
          </cell>
          <cell r="L120">
            <v>1.0129999999999999</v>
          </cell>
          <cell r="M120">
            <v>1.0029999999999999</v>
          </cell>
          <cell r="N120">
            <v>1.0029999999999999</v>
          </cell>
          <cell r="O120">
            <v>1.0209999999999999</v>
          </cell>
          <cell r="P120">
            <v>1.032</v>
          </cell>
          <cell r="Q120">
            <v>1.0349999999999999</v>
          </cell>
          <cell r="R120">
            <v>1.3319480854780448</v>
          </cell>
        </row>
        <row r="121">
          <cell r="A121">
            <v>5306</v>
          </cell>
          <cell r="B121" t="str">
            <v>MEDICAL WAREHOUSE</v>
          </cell>
          <cell r="C121" t="str">
            <v>SF</v>
          </cell>
          <cell r="D121" t="str">
            <v>B</v>
          </cell>
          <cell r="E121">
            <v>1.0740000000000001</v>
          </cell>
          <cell r="F121">
            <v>1.0209999999999999</v>
          </cell>
          <cell r="G121">
            <v>1.0269999999999999</v>
          </cell>
          <cell r="H121">
            <v>1.0029999999999999</v>
          </cell>
          <cell r="I121">
            <v>1.0289999999999999</v>
          </cell>
          <cell r="J121">
            <v>1.0049999999999999</v>
          </cell>
          <cell r="L121">
            <v>1.0129999999999999</v>
          </cell>
          <cell r="M121">
            <v>1.0029999999999999</v>
          </cell>
          <cell r="N121">
            <v>1.0029999999999999</v>
          </cell>
          <cell r="O121">
            <v>1.0209999999999999</v>
          </cell>
          <cell r="P121">
            <v>1.032</v>
          </cell>
          <cell r="Q121">
            <v>1.0349999999999999</v>
          </cell>
          <cell r="R121">
            <v>1.2981950150858137</v>
          </cell>
        </row>
        <row r="122">
          <cell r="A122">
            <v>5307</v>
          </cell>
          <cell r="B122" t="str">
            <v>AMBULANCE SHELTER</v>
          </cell>
          <cell r="C122" t="str">
            <v>SF</v>
          </cell>
          <cell r="D122" t="str">
            <v>B</v>
          </cell>
          <cell r="F122">
            <v>1.0209999999999999</v>
          </cell>
          <cell r="G122">
            <v>1.0269999999999999</v>
          </cell>
          <cell r="P122">
            <v>1.032</v>
          </cell>
          <cell r="Q122">
            <v>1.0349999999999999</v>
          </cell>
          <cell r="R122">
            <v>1.1199953840399997</v>
          </cell>
        </row>
        <row r="123">
          <cell r="A123">
            <v>6103</v>
          </cell>
          <cell r="B123" t="str">
            <v>PRINTING AND REPRODUCTION PLANT</v>
          </cell>
          <cell r="C123" t="str">
            <v>SF</v>
          </cell>
          <cell r="D123" t="str">
            <v>B</v>
          </cell>
          <cell r="F123">
            <v>1.0209999999999999</v>
          </cell>
          <cell r="G123">
            <v>1.0269999999999999</v>
          </cell>
          <cell r="H123">
            <v>1.0029999999999999</v>
          </cell>
          <cell r="I123">
            <v>1.0289999999999999</v>
          </cell>
          <cell r="J123">
            <v>1.0049999999999999</v>
          </cell>
          <cell r="O123">
            <v>1.0209999999999999</v>
          </cell>
          <cell r="P123">
            <v>1.032</v>
          </cell>
          <cell r="Q123">
            <v>1.0349999999999999</v>
          </cell>
          <cell r="R123">
            <v>1.1861082984327833</v>
          </cell>
        </row>
        <row r="124">
          <cell r="A124">
            <v>6900</v>
          </cell>
          <cell r="B124" t="str">
            <v>ADMINISTRATIVE STRUCTURE, OTHER THAN BUILDINGS</v>
          </cell>
          <cell r="C124" t="str">
            <v>EA</v>
          </cell>
          <cell r="D124" t="str">
            <v>S</v>
          </cell>
          <cell r="F124">
            <v>1.0209999999999999</v>
          </cell>
          <cell r="R124">
            <v>1.0209999999999999</v>
          </cell>
        </row>
        <row r="125">
          <cell r="A125">
            <v>7120</v>
          </cell>
          <cell r="B125" t="str">
            <v>FAMILY HOUSING TRAILER</v>
          </cell>
          <cell r="C125" t="str">
            <v>SF</v>
          </cell>
          <cell r="D125" t="str">
            <v>B</v>
          </cell>
          <cell r="F125">
            <v>1.0209999999999999</v>
          </cell>
          <cell r="R125">
            <v>1.0209999999999999</v>
          </cell>
        </row>
        <row r="126">
          <cell r="A126">
            <v>7130</v>
          </cell>
          <cell r="B126" t="str">
            <v>FAMILY HOUSING TRAILER SITE</v>
          </cell>
          <cell r="C126" t="str">
            <v>SY</v>
          </cell>
          <cell r="D126" t="str">
            <v>LS</v>
          </cell>
          <cell r="F126">
            <v>1.0209999999999999</v>
          </cell>
          <cell r="R126">
            <v>1.0209999999999999</v>
          </cell>
        </row>
        <row r="127">
          <cell r="A127">
            <v>7141</v>
          </cell>
          <cell r="B127" t="str">
            <v>FAMILY HOUSING GARAGE</v>
          </cell>
          <cell r="C127" t="str">
            <v>SF</v>
          </cell>
          <cell r="D127" t="str">
            <v>B</v>
          </cell>
          <cell r="F127">
            <v>1.0209999999999999</v>
          </cell>
          <cell r="P127">
            <v>1.032</v>
          </cell>
          <cell r="Q127">
            <v>1.0349999999999999</v>
          </cell>
          <cell r="R127">
            <v>1.0905505199999999</v>
          </cell>
        </row>
        <row r="128">
          <cell r="A128">
            <v>7142</v>
          </cell>
          <cell r="B128" t="str">
            <v>FAMILY HOUSING STORAGE FACILITY</v>
          </cell>
          <cell r="C128" t="str">
            <v>SF</v>
          </cell>
          <cell r="D128" t="str">
            <v>B</v>
          </cell>
          <cell r="F128">
            <v>1.0209999999999999</v>
          </cell>
          <cell r="R128">
            <v>1.0209999999999999</v>
          </cell>
        </row>
        <row r="129">
          <cell r="A129">
            <v>7143</v>
          </cell>
          <cell r="B129" t="str">
            <v>MISCELLANEOUS FAMILY HOUSING SUPPORT FACILITY</v>
          </cell>
          <cell r="C129" t="str">
            <v>SF</v>
          </cell>
          <cell r="D129" t="str">
            <v>B</v>
          </cell>
          <cell r="F129">
            <v>1.0209999999999999</v>
          </cell>
          <cell r="R129">
            <v>1.0209999999999999</v>
          </cell>
        </row>
        <row r="130">
          <cell r="A130">
            <v>7145</v>
          </cell>
          <cell r="B130" t="str">
            <v>TRAILER COURT SUPPORT FACILITY</v>
          </cell>
          <cell r="C130" t="str">
            <v>SF</v>
          </cell>
          <cell r="D130" t="str">
            <v>B</v>
          </cell>
          <cell r="F130">
            <v>1.0209999999999999</v>
          </cell>
          <cell r="R130">
            <v>1.0209999999999999</v>
          </cell>
        </row>
        <row r="131">
          <cell r="A131">
            <v>7147</v>
          </cell>
          <cell r="B131" t="str">
            <v>FAMILY HOUSING CARPORT</v>
          </cell>
          <cell r="C131" t="str">
            <v>SF</v>
          </cell>
          <cell r="D131" t="str">
            <v>S</v>
          </cell>
          <cell r="F131">
            <v>1.0209999999999999</v>
          </cell>
          <cell r="P131">
            <v>1.032</v>
          </cell>
          <cell r="Q131">
            <v>1.0349999999999999</v>
          </cell>
          <cell r="R131">
            <v>1.0905505199999999</v>
          </cell>
        </row>
        <row r="132">
          <cell r="A132">
            <v>7215</v>
          </cell>
          <cell r="B132" t="str">
            <v>UNACCOMPANIED HOUSING FOR WOUNDED WARRIORS</v>
          </cell>
          <cell r="C132" t="str">
            <v>SF</v>
          </cell>
          <cell r="D132" t="str">
            <v>B</v>
          </cell>
          <cell r="E132">
            <v>1.0740000000000001</v>
          </cell>
          <cell r="F132">
            <v>1.0209999999999999</v>
          </cell>
          <cell r="G132">
            <v>1.0269999999999999</v>
          </cell>
          <cell r="H132">
            <v>1.0029999999999999</v>
          </cell>
          <cell r="I132">
            <v>1.0289999999999999</v>
          </cell>
          <cell r="J132">
            <v>1.0049999999999999</v>
          </cell>
          <cell r="K132">
            <v>1.026</v>
          </cell>
          <cell r="L132">
            <v>1.0129999999999999</v>
          </cell>
          <cell r="M132">
            <v>1.0029999999999999</v>
          </cell>
          <cell r="N132">
            <v>1.0029999999999999</v>
          </cell>
          <cell r="O132">
            <v>1.0209999999999999</v>
          </cell>
          <cell r="P132">
            <v>1.032</v>
          </cell>
          <cell r="Q132">
            <v>1.0349999999999999</v>
          </cell>
          <cell r="R132">
            <v>1.3319480854780448</v>
          </cell>
        </row>
        <row r="133">
          <cell r="A133">
            <v>7231</v>
          </cell>
          <cell r="B133" t="str">
            <v>MISCELLANEOUS UPH SUPPORT BUILDING</v>
          </cell>
          <cell r="C133" t="str">
            <v>SF</v>
          </cell>
          <cell r="D133" t="str">
            <v>B</v>
          </cell>
          <cell r="E133">
            <v>1.0740000000000001</v>
          </cell>
          <cell r="F133">
            <v>1.0209999999999999</v>
          </cell>
          <cell r="G133">
            <v>1.0269999999999999</v>
          </cell>
          <cell r="M133">
            <v>1.0029999999999999</v>
          </cell>
          <cell r="Q133">
            <v>1.0349999999999999</v>
          </cell>
          <cell r="R133">
            <v>1.1690733213045894</v>
          </cell>
        </row>
        <row r="134">
          <cell r="A134">
            <v>7232</v>
          </cell>
          <cell r="B134" t="str">
            <v>UNACCOMPANIED PERSONNEL HOUSING GARAGE</v>
          </cell>
          <cell r="C134" t="str">
            <v>SF</v>
          </cell>
          <cell r="D134" t="str">
            <v>B</v>
          </cell>
          <cell r="F134">
            <v>1.0209999999999999</v>
          </cell>
          <cell r="H134">
            <v>1.0029999999999999</v>
          </cell>
          <cell r="P134">
            <v>1.032</v>
          </cell>
          <cell r="Q134">
            <v>1.0349999999999999</v>
          </cell>
          <cell r="R134">
            <v>1.0938221715599996</v>
          </cell>
        </row>
        <row r="135">
          <cell r="A135">
            <v>7233</v>
          </cell>
          <cell r="B135" t="str">
            <v>DINING SUPPORT FACILITY</v>
          </cell>
          <cell r="C135" t="str">
            <v>SF</v>
          </cell>
          <cell r="D135" t="str">
            <v>B</v>
          </cell>
          <cell r="F135">
            <v>1.0209999999999999</v>
          </cell>
          <cell r="G135">
            <v>1.0269999999999999</v>
          </cell>
          <cell r="H135">
            <v>1.0029999999999999</v>
          </cell>
          <cell r="J135">
            <v>1.0049999999999999</v>
          </cell>
          <cell r="R135">
            <v>1.0569712645049996</v>
          </cell>
        </row>
        <row r="136">
          <cell r="A136">
            <v>7234</v>
          </cell>
          <cell r="B136" t="str">
            <v>LATRINE/SHOWER FACILITY</v>
          </cell>
          <cell r="C136" t="str">
            <v>SF</v>
          </cell>
          <cell r="D136" t="str">
            <v>B</v>
          </cell>
          <cell r="F136">
            <v>1.0209999999999999</v>
          </cell>
          <cell r="G136">
            <v>1.0269999999999999</v>
          </cell>
          <cell r="K136">
            <v>1.026</v>
          </cell>
          <cell r="L136">
            <v>1.0129999999999999</v>
          </cell>
          <cell r="N136">
            <v>1.0029999999999999</v>
          </cell>
          <cell r="P136">
            <v>1.032</v>
          </cell>
          <cell r="Q136">
            <v>1.0349999999999999</v>
          </cell>
          <cell r="R136">
            <v>1.1675459237447372</v>
          </cell>
        </row>
        <row r="137">
          <cell r="A137">
            <v>7235</v>
          </cell>
          <cell r="B137" t="str">
            <v>MISCELLANEOUS UPH SUPPORT FACILITY</v>
          </cell>
          <cell r="C137" t="str">
            <v>EA</v>
          </cell>
          <cell r="D137" t="str">
            <v>S</v>
          </cell>
          <cell r="F137">
            <v>1.0209999999999999</v>
          </cell>
          <cell r="R137">
            <v>1.0209999999999999</v>
          </cell>
        </row>
        <row r="138">
          <cell r="A138">
            <v>7241</v>
          </cell>
          <cell r="B138" t="str">
            <v>OFFICER UPH, TRANSIENT</v>
          </cell>
          <cell r="C138" t="str">
            <v>SF</v>
          </cell>
          <cell r="D138" t="str">
            <v>B</v>
          </cell>
          <cell r="E138">
            <v>1.0740000000000001</v>
          </cell>
          <cell r="F138">
            <v>1.0209999999999999</v>
          </cell>
          <cell r="G138">
            <v>1.0269999999999999</v>
          </cell>
          <cell r="H138">
            <v>1.0029999999999999</v>
          </cell>
          <cell r="I138">
            <v>1.0289999999999999</v>
          </cell>
          <cell r="J138">
            <v>1.0049999999999999</v>
          </cell>
          <cell r="K138">
            <v>1.026</v>
          </cell>
          <cell r="L138">
            <v>1.0129999999999999</v>
          </cell>
          <cell r="M138">
            <v>1.0029999999999999</v>
          </cell>
          <cell r="N138">
            <v>1.0029999999999999</v>
          </cell>
          <cell r="O138">
            <v>1.0209999999999999</v>
          </cell>
          <cell r="P138">
            <v>1.032</v>
          </cell>
          <cell r="Q138">
            <v>1.0349999999999999</v>
          </cell>
          <cell r="R138">
            <v>1.3319480854780448</v>
          </cell>
        </row>
        <row r="139">
          <cell r="A139">
            <v>7242</v>
          </cell>
          <cell r="B139" t="str">
            <v>SERVICE ACADEMY UNACCOMPANIED PERSONNEL HOUSING</v>
          </cell>
          <cell r="C139" t="str">
            <v>SF</v>
          </cell>
          <cell r="D139" t="str">
            <v>B</v>
          </cell>
          <cell r="E139">
            <v>1.0740000000000001</v>
          </cell>
          <cell r="F139">
            <v>1.0209999999999999</v>
          </cell>
          <cell r="G139">
            <v>1.0269999999999999</v>
          </cell>
          <cell r="H139">
            <v>1.0029999999999999</v>
          </cell>
          <cell r="I139">
            <v>1.0289999999999999</v>
          </cell>
          <cell r="J139">
            <v>1.0049999999999999</v>
          </cell>
          <cell r="K139">
            <v>1.026</v>
          </cell>
          <cell r="L139">
            <v>1.0129999999999999</v>
          </cell>
          <cell r="M139">
            <v>1.0029999999999999</v>
          </cell>
          <cell r="N139">
            <v>1.0029999999999999</v>
          </cell>
          <cell r="O139">
            <v>1.0209999999999999</v>
          </cell>
          <cell r="P139">
            <v>1.032</v>
          </cell>
          <cell r="Q139">
            <v>1.0349999999999999</v>
          </cell>
          <cell r="R139">
            <v>1.3319480854780448</v>
          </cell>
        </row>
        <row r="140">
          <cell r="A140">
            <v>7250</v>
          </cell>
          <cell r="B140" t="str">
            <v>EMERGENCY UNACCOMPANIED PERSONNEL HOUSING</v>
          </cell>
          <cell r="C140" t="str">
            <v>SF</v>
          </cell>
          <cell r="D140" t="str">
            <v>B</v>
          </cell>
          <cell r="E140">
            <v>1.0740000000000001</v>
          </cell>
          <cell r="F140">
            <v>1.0209999999999999</v>
          </cell>
          <cell r="G140">
            <v>1.0269999999999999</v>
          </cell>
          <cell r="H140">
            <v>1.0029999999999999</v>
          </cell>
          <cell r="I140">
            <v>1.0289999999999999</v>
          </cell>
          <cell r="J140">
            <v>1.0049999999999999</v>
          </cell>
          <cell r="K140">
            <v>1.026</v>
          </cell>
          <cell r="L140">
            <v>1.0129999999999999</v>
          </cell>
          <cell r="M140">
            <v>1.0029999999999999</v>
          </cell>
          <cell r="N140">
            <v>1.0029999999999999</v>
          </cell>
          <cell r="O140">
            <v>1.0209999999999999</v>
          </cell>
          <cell r="P140">
            <v>1.032</v>
          </cell>
          <cell r="Q140">
            <v>1.0349999999999999</v>
          </cell>
          <cell r="R140">
            <v>1.3319480854780448</v>
          </cell>
        </row>
        <row r="141">
          <cell r="A141">
            <v>7312</v>
          </cell>
          <cell r="B141" t="str">
            <v>PRISON/CONFINEMENT FACILITY</v>
          </cell>
          <cell r="C141" t="str">
            <v>SF</v>
          </cell>
          <cell r="D141" t="str">
            <v>B</v>
          </cell>
          <cell r="E141">
            <v>1.0740000000000001</v>
          </cell>
          <cell r="F141">
            <v>1.0209999999999999</v>
          </cell>
          <cell r="G141">
            <v>1.0269999999999999</v>
          </cell>
          <cell r="H141">
            <v>1.0029999999999999</v>
          </cell>
          <cell r="I141">
            <v>1.0289999999999999</v>
          </cell>
          <cell r="J141">
            <v>1.0049999999999999</v>
          </cell>
          <cell r="K141">
            <v>1.026</v>
          </cell>
          <cell r="L141">
            <v>1.0129999999999999</v>
          </cell>
          <cell r="M141">
            <v>1.0029999999999999</v>
          </cell>
          <cell r="N141">
            <v>1.0029999999999999</v>
          </cell>
          <cell r="O141">
            <v>1.0209999999999999</v>
          </cell>
          <cell r="P141">
            <v>1.032</v>
          </cell>
          <cell r="Q141">
            <v>1.0349999999999999</v>
          </cell>
          <cell r="R141">
            <v>1.3319480854780448</v>
          </cell>
        </row>
        <row r="142">
          <cell r="A142">
            <v>7313</v>
          </cell>
          <cell r="B142" t="str">
            <v>POLICE STATION</v>
          </cell>
          <cell r="C142" t="str">
            <v>SF</v>
          </cell>
          <cell r="D142" t="str">
            <v>B</v>
          </cell>
          <cell r="E142">
            <v>1.0740000000000001</v>
          </cell>
          <cell r="F142">
            <v>1.0209999999999999</v>
          </cell>
          <cell r="G142">
            <v>1.0269999999999999</v>
          </cell>
          <cell r="H142">
            <v>1.0029999999999999</v>
          </cell>
          <cell r="I142">
            <v>1.0289999999999999</v>
          </cell>
          <cell r="J142">
            <v>1.0049999999999999</v>
          </cell>
          <cell r="K142">
            <v>1.026</v>
          </cell>
          <cell r="L142">
            <v>1.0129999999999999</v>
          </cell>
          <cell r="M142">
            <v>1.0029999999999999</v>
          </cell>
          <cell r="N142">
            <v>1.0029999999999999</v>
          </cell>
          <cell r="O142">
            <v>1.0209999999999999</v>
          </cell>
          <cell r="P142">
            <v>1.032</v>
          </cell>
          <cell r="Q142">
            <v>1.0349999999999999</v>
          </cell>
          <cell r="R142">
            <v>1.3319480854780448</v>
          </cell>
        </row>
        <row r="143">
          <cell r="A143">
            <v>7314</v>
          </cell>
          <cell r="B143" t="str">
            <v>DRUG AND ALCOHOL ABUSE CENTER</v>
          </cell>
          <cell r="C143" t="str">
            <v>SF</v>
          </cell>
          <cell r="D143" t="str">
            <v>B</v>
          </cell>
          <cell r="E143">
            <v>1.0740000000000001</v>
          </cell>
          <cell r="F143">
            <v>1.0209999999999999</v>
          </cell>
          <cell r="G143">
            <v>1.0269999999999999</v>
          </cell>
          <cell r="H143">
            <v>1.0029999999999999</v>
          </cell>
          <cell r="I143">
            <v>1.0289999999999999</v>
          </cell>
          <cell r="J143">
            <v>1.0049999999999999</v>
          </cell>
          <cell r="K143">
            <v>1.026</v>
          </cell>
          <cell r="L143">
            <v>1.0129999999999999</v>
          </cell>
          <cell r="M143">
            <v>1.0029999999999999</v>
          </cell>
          <cell r="N143">
            <v>1.0029999999999999</v>
          </cell>
          <cell r="O143">
            <v>1.0209999999999999</v>
          </cell>
          <cell r="P143">
            <v>1.032</v>
          </cell>
          <cell r="Q143">
            <v>1.0349999999999999</v>
          </cell>
          <cell r="R143">
            <v>1.3319480854780448</v>
          </cell>
        </row>
        <row r="144">
          <cell r="A144">
            <v>7321</v>
          </cell>
          <cell r="B144" t="str">
            <v>BREAD/PASTRY KITCHEN</v>
          </cell>
          <cell r="C144" t="str">
            <v>SF</v>
          </cell>
          <cell r="D144" t="str">
            <v>B</v>
          </cell>
          <cell r="F144">
            <v>1.0209999999999999</v>
          </cell>
          <cell r="G144">
            <v>1.0269999999999999</v>
          </cell>
          <cell r="H144">
            <v>1.0029999999999999</v>
          </cell>
          <cell r="I144">
            <v>1.0289999999999999</v>
          </cell>
          <cell r="J144">
            <v>1.0049999999999999</v>
          </cell>
          <cell r="L144">
            <v>1.0129999999999999</v>
          </cell>
          <cell r="M144">
            <v>1.0029999999999999</v>
          </cell>
          <cell r="N144">
            <v>1.0029999999999999</v>
          </cell>
          <cell r="P144">
            <v>1.032</v>
          </cell>
          <cell r="Q144">
            <v>1.0349999999999999</v>
          </cell>
          <cell r="R144">
            <v>1.1838860786480316</v>
          </cell>
        </row>
        <row r="145">
          <cell r="A145">
            <v>7322</v>
          </cell>
          <cell r="B145" t="str">
            <v>ICE/DAIRY PRODUCTS PLANT</v>
          </cell>
          <cell r="C145" t="str">
            <v>SF</v>
          </cell>
          <cell r="D145" t="str">
            <v>B</v>
          </cell>
          <cell r="F145">
            <v>1.0209999999999999</v>
          </cell>
          <cell r="G145">
            <v>1.0269999999999999</v>
          </cell>
          <cell r="H145">
            <v>1.0029999999999999</v>
          </cell>
          <cell r="I145">
            <v>1.0289999999999999</v>
          </cell>
          <cell r="J145">
            <v>1.0049999999999999</v>
          </cell>
          <cell r="L145">
            <v>1.0129999999999999</v>
          </cell>
          <cell r="M145">
            <v>1.0029999999999999</v>
          </cell>
          <cell r="N145">
            <v>1.0029999999999999</v>
          </cell>
          <cell r="P145">
            <v>1.032</v>
          </cell>
          <cell r="Q145">
            <v>1.0349999999999999</v>
          </cell>
          <cell r="R145">
            <v>1.1838860786480316</v>
          </cell>
        </row>
        <row r="146">
          <cell r="A146">
            <v>7323</v>
          </cell>
          <cell r="B146" t="str">
            <v>GREENHOUSE</v>
          </cell>
          <cell r="C146" t="str">
            <v>SF</v>
          </cell>
          <cell r="D146" t="str">
            <v>B</v>
          </cell>
          <cell r="F146">
            <v>1.0209999999999999</v>
          </cell>
          <cell r="R146">
            <v>1.0209999999999999</v>
          </cell>
        </row>
        <row r="147">
          <cell r="A147">
            <v>7331</v>
          </cell>
          <cell r="B147" t="str">
            <v>EXCHANGE EATING FACILITY</v>
          </cell>
          <cell r="C147" t="str">
            <v>SF</v>
          </cell>
          <cell r="D147" t="str">
            <v>B</v>
          </cell>
          <cell r="E147">
            <v>1.0740000000000001</v>
          </cell>
          <cell r="F147">
            <v>1.0209999999999999</v>
          </cell>
          <cell r="G147">
            <v>1.0269999999999999</v>
          </cell>
          <cell r="J147">
            <v>1.0049999999999999</v>
          </cell>
          <cell r="K147">
            <v>1.026</v>
          </cell>
          <cell r="L147">
            <v>1.0129999999999999</v>
          </cell>
          <cell r="M147">
            <v>1.0029999999999999</v>
          </cell>
          <cell r="N147">
            <v>1.0029999999999999</v>
          </cell>
          <cell r="O147">
            <v>1.0209999999999999</v>
          </cell>
          <cell r="P147">
            <v>1.032</v>
          </cell>
          <cell r="Q147">
            <v>1.0349999999999999</v>
          </cell>
          <cell r="R147">
            <v>1.290538574246207</v>
          </cell>
        </row>
        <row r="148">
          <cell r="A148">
            <v>7333</v>
          </cell>
          <cell r="B148" t="str">
            <v>OPEN MESS AND CLUB FACILITY</v>
          </cell>
          <cell r="C148" t="str">
            <v>SF</v>
          </cell>
          <cell r="D148" t="str">
            <v>B</v>
          </cell>
          <cell r="E148">
            <v>1.0740000000000001</v>
          </cell>
          <cell r="F148">
            <v>1.0209999999999999</v>
          </cell>
          <cell r="G148">
            <v>1.0269999999999999</v>
          </cell>
          <cell r="H148">
            <v>1.0029999999999999</v>
          </cell>
          <cell r="I148">
            <v>1.0289999999999999</v>
          </cell>
          <cell r="J148">
            <v>1.0049999999999999</v>
          </cell>
          <cell r="K148">
            <v>1.026</v>
          </cell>
          <cell r="L148">
            <v>1.0129999999999999</v>
          </cell>
          <cell r="M148">
            <v>1.0029999999999999</v>
          </cell>
          <cell r="N148">
            <v>1.0029999999999999</v>
          </cell>
          <cell r="O148">
            <v>1.0209999999999999</v>
          </cell>
          <cell r="P148">
            <v>1.032</v>
          </cell>
          <cell r="Q148">
            <v>1.0349999999999999</v>
          </cell>
          <cell r="R148">
            <v>1.3319480854780448</v>
          </cell>
        </row>
        <row r="149">
          <cell r="A149">
            <v>7340</v>
          </cell>
          <cell r="B149" t="str">
            <v>THRIFT SHOP</v>
          </cell>
          <cell r="C149" t="str">
            <v>SF</v>
          </cell>
          <cell r="D149" t="str">
            <v>B</v>
          </cell>
          <cell r="F149">
            <v>1.0209999999999999</v>
          </cell>
          <cell r="J149">
            <v>1.0049999999999999</v>
          </cell>
          <cell r="N149">
            <v>1.0029999999999999</v>
          </cell>
          <cell r="R149">
            <v>1.0291833149999998</v>
          </cell>
        </row>
        <row r="150">
          <cell r="A150">
            <v>7341</v>
          </cell>
          <cell r="B150" t="str">
            <v>BUS STATION</v>
          </cell>
          <cell r="C150" t="str">
            <v>SF</v>
          </cell>
          <cell r="D150" t="str">
            <v>B</v>
          </cell>
          <cell r="F150">
            <v>1.0209999999999999</v>
          </cell>
          <cell r="H150">
            <v>1.0029999999999999</v>
          </cell>
          <cell r="I150">
            <v>1.0289999999999999</v>
          </cell>
          <cell r="J150">
            <v>1.0049999999999999</v>
          </cell>
          <cell r="N150">
            <v>1.0029999999999999</v>
          </cell>
          <cell r="P150">
            <v>1.032</v>
          </cell>
          <cell r="Q150">
            <v>1.0349999999999999</v>
          </cell>
          <cell r="R150">
            <v>1.1345642417967394</v>
          </cell>
        </row>
        <row r="151">
          <cell r="A151">
            <v>7342</v>
          </cell>
          <cell r="B151" t="str">
            <v>LAUNDRY/DRY CLEANING FACILITY</v>
          </cell>
          <cell r="C151" t="str">
            <v>SF</v>
          </cell>
          <cell r="D151" t="str">
            <v>B</v>
          </cell>
          <cell r="F151">
            <v>1.0209999999999999</v>
          </cell>
          <cell r="L151">
            <v>1.0129999999999999</v>
          </cell>
          <cell r="M151">
            <v>1.0029999999999999</v>
          </cell>
          <cell r="N151">
            <v>1.0029999999999999</v>
          </cell>
          <cell r="P151">
            <v>1.032</v>
          </cell>
          <cell r="Q151">
            <v>1.0349999999999999</v>
          </cell>
          <cell r="R151">
            <v>1.1113659853696505</v>
          </cell>
        </row>
        <row r="152">
          <cell r="A152">
            <v>7344</v>
          </cell>
          <cell r="B152" t="str">
            <v>POSTAL FACILITY</v>
          </cell>
          <cell r="C152" t="str">
            <v>SF</v>
          </cell>
          <cell r="D152" t="str">
            <v>B</v>
          </cell>
          <cell r="E152">
            <v>1.0740000000000001</v>
          </cell>
          <cell r="F152">
            <v>1.0209999999999999</v>
          </cell>
          <cell r="G152">
            <v>1.0269999999999999</v>
          </cell>
          <cell r="H152">
            <v>1.0029999999999999</v>
          </cell>
          <cell r="I152">
            <v>1.0289999999999999</v>
          </cell>
          <cell r="J152">
            <v>1.0049999999999999</v>
          </cell>
          <cell r="K152">
            <v>1.026</v>
          </cell>
          <cell r="L152">
            <v>1.0129999999999999</v>
          </cell>
          <cell r="M152">
            <v>1.0029999999999999</v>
          </cell>
          <cell r="N152">
            <v>1.0029999999999999</v>
          </cell>
          <cell r="O152">
            <v>1.0209999999999999</v>
          </cell>
          <cell r="P152">
            <v>1.032</v>
          </cell>
          <cell r="Q152">
            <v>1.0349999999999999</v>
          </cell>
          <cell r="R152">
            <v>1.3319480854780448</v>
          </cell>
        </row>
        <row r="153">
          <cell r="A153">
            <v>7345</v>
          </cell>
          <cell r="B153" t="str">
            <v>EXCHANGE AUTOMOBILE FACILITY</v>
          </cell>
          <cell r="C153" t="str">
            <v>SF</v>
          </cell>
          <cell r="D153" t="str">
            <v>B</v>
          </cell>
          <cell r="F153">
            <v>1.0209999999999999</v>
          </cell>
          <cell r="G153">
            <v>1.0269999999999999</v>
          </cell>
          <cell r="H153">
            <v>1.0029999999999999</v>
          </cell>
          <cell r="I153">
            <v>1.0289999999999999</v>
          </cell>
          <cell r="J153">
            <v>1.0049999999999999</v>
          </cell>
          <cell r="N153">
            <v>1.0029999999999999</v>
          </cell>
          <cell r="P153">
            <v>1.032</v>
          </cell>
          <cell r="Q153">
            <v>1.0349999999999999</v>
          </cell>
          <cell r="R153">
            <v>1.1651974763252515</v>
          </cell>
        </row>
        <row r="154">
          <cell r="A154">
            <v>7346</v>
          </cell>
          <cell r="B154" t="str">
            <v>EXCHANGE SALES FACILITY</v>
          </cell>
          <cell r="C154" t="str">
            <v>SF</v>
          </cell>
          <cell r="D154" t="str">
            <v>B</v>
          </cell>
          <cell r="F154">
            <v>1.0209999999999999</v>
          </cell>
          <cell r="G154">
            <v>1.0269999999999999</v>
          </cell>
          <cell r="H154">
            <v>1.0029999999999999</v>
          </cell>
          <cell r="I154">
            <v>1.0289999999999999</v>
          </cell>
          <cell r="J154">
            <v>1.0049999999999999</v>
          </cell>
          <cell r="K154">
            <v>1.026</v>
          </cell>
          <cell r="L154">
            <v>1.0129999999999999</v>
          </cell>
          <cell r="M154">
            <v>1.0029999999999999</v>
          </cell>
          <cell r="N154">
            <v>1.0029999999999999</v>
          </cell>
          <cell r="P154">
            <v>1.032</v>
          </cell>
          <cell r="Q154">
            <v>1.0349999999999999</v>
          </cell>
          <cell r="R154">
            <v>1.2146671166928804</v>
          </cell>
        </row>
        <row r="155">
          <cell r="A155">
            <v>7347</v>
          </cell>
          <cell r="B155" t="str">
            <v>BANK AND CREDIT UNION</v>
          </cell>
          <cell r="C155" t="str">
            <v>SF</v>
          </cell>
          <cell r="D155" t="str">
            <v>B</v>
          </cell>
          <cell r="E155">
            <v>1.0740000000000001</v>
          </cell>
          <cell r="F155">
            <v>1.0209999999999999</v>
          </cell>
          <cell r="G155">
            <v>1.0269999999999999</v>
          </cell>
          <cell r="H155">
            <v>1.0029999999999999</v>
          </cell>
          <cell r="I155">
            <v>1.0289999999999999</v>
          </cell>
          <cell r="J155">
            <v>1.0049999999999999</v>
          </cell>
          <cell r="K155">
            <v>1.026</v>
          </cell>
          <cell r="M155">
            <v>1.0029999999999999</v>
          </cell>
          <cell r="N155">
            <v>1.0029999999999999</v>
          </cell>
          <cell r="O155">
            <v>1.0209999999999999</v>
          </cell>
          <cell r="P155">
            <v>1.032</v>
          </cell>
          <cell r="Q155">
            <v>1.0349999999999999</v>
          </cell>
          <cell r="R155">
            <v>1.3148549708569053</v>
          </cell>
        </row>
        <row r="156">
          <cell r="A156">
            <v>7348</v>
          </cell>
          <cell r="B156" t="str">
            <v>CAR WASH FACILITY</v>
          </cell>
          <cell r="C156" t="str">
            <v>SF</v>
          </cell>
          <cell r="D156" t="str">
            <v>B</v>
          </cell>
          <cell r="F156">
            <v>1.0209999999999999</v>
          </cell>
          <cell r="L156">
            <v>1.0129999999999999</v>
          </cell>
          <cell r="N156">
            <v>1.0029999999999999</v>
          </cell>
          <cell r="P156">
            <v>1.032</v>
          </cell>
          <cell r="Q156">
            <v>1.0349999999999999</v>
          </cell>
          <cell r="R156">
            <v>1.1080418597902797</v>
          </cell>
        </row>
        <row r="157">
          <cell r="A157">
            <v>7349</v>
          </cell>
          <cell r="B157" t="str">
            <v>COMMISSARY</v>
          </cell>
          <cell r="C157" t="str">
            <v>SF</v>
          </cell>
          <cell r="D157" t="str">
            <v>B</v>
          </cell>
          <cell r="E157">
            <v>1.0740000000000001</v>
          </cell>
          <cell r="F157">
            <v>1.0209999999999999</v>
          </cell>
          <cell r="G157">
            <v>1.0269999999999999</v>
          </cell>
          <cell r="H157">
            <v>1.0029999999999999</v>
          </cell>
          <cell r="I157">
            <v>1.0289999999999999</v>
          </cell>
          <cell r="J157">
            <v>1.0049999999999999</v>
          </cell>
          <cell r="L157">
            <v>1.0129999999999999</v>
          </cell>
          <cell r="M157">
            <v>1.0029999999999999</v>
          </cell>
          <cell r="N157">
            <v>1.0029999999999999</v>
          </cell>
          <cell r="O157">
            <v>1.0209999999999999</v>
          </cell>
          <cell r="P157">
            <v>1.032</v>
          </cell>
          <cell r="Q157">
            <v>1.0349999999999999</v>
          </cell>
          <cell r="R157">
            <v>1.2981950150858137</v>
          </cell>
        </row>
        <row r="158">
          <cell r="A158">
            <v>7351</v>
          </cell>
          <cell r="B158" t="str">
            <v>EDUCATION CENTER</v>
          </cell>
          <cell r="C158" t="str">
            <v>SF</v>
          </cell>
          <cell r="D158" t="str">
            <v>B</v>
          </cell>
          <cell r="E158">
            <v>1.0740000000000001</v>
          </cell>
          <cell r="F158">
            <v>1.0209999999999999</v>
          </cell>
          <cell r="G158">
            <v>1.0269999999999999</v>
          </cell>
          <cell r="H158">
            <v>1.0029999999999999</v>
          </cell>
          <cell r="I158">
            <v>1.0289999999999999</v>
          </cell>
          <cell r="J158">
            <v>1.0049999999999999</v>
          </cell>
          <cell r="K158">
            <v>1.026</v>
          </cell>
          <cell r="L158">
            <v>1.0129999999999999</v>
          </cell>
          <cell r="M158">
            <v>1.0029999999999999</v>
          </cell>
          <cell r="N158">
            <v>1.0029999999999999</v>
          </cell>
          <cell r="O158">
            <v>1.0209999999999999</v>
          </cell>
          <cell r="P158">
            <v>1.032</v>
          </cell>
          <cell r="Q158">
            <v>1.0349999999999999</v>
          </cell>
          <cell r="R158">
            <v>1.3319480854780448</v>
          </cell>
        </row>
        <row r="159">
          <cell r="A159">
            <v>7354</v>
          </cell>
          <cell r="B159" t="str">
            <v>SCHOOL PLAYGROUNDS</v>
          </cell>
          <cell r="C159" t="str">
            <v>EA</v>
          </cell>
          <cell r="D159" t="str">
            <v>S</v>
          </cell>
          <cell r="F159">
            <v>1.0209999999999999</v>
          </cell>
          <cell r="R159">
            <v>1.0209999999999999</v>
          </cell>
        </row>
        <row r="160">
          <cell r="A160">
            <v>7362</v>
          </cell>
          <cell r="B160" t="str">
            <v>RELIGIOUS EDUCATION FACILITY</v>
          </cell>
          <cell r="C160" t="str">
            <v>SF</v>
          </cell>
          <cell r="D160" t="str">
            <v>B</v>
          </cell>
          <cell r="E160">
            <v>1.0740000000000001</v>
          </cell>
          <cell r="F160">
            <v>1.0209999999999999</v>
          </cell>
          <cell r="G160">
            <v>1.0269999999999999</v>
          </cell>
          <cell r="H160">
            <v>1.0029999999999999</v>
          </cell>
          <cell r="I160">
            <v>1.0289999999999999</v>
          </cell>
          <cell r="J160">
            <v>1.0049999999999999</v>
          </cell>
          <cell r="K160">
            <v>1.026</v>
          </cell>
          <cell r="L160">
            <v>1.0129999999999999</v>
          </cell>
          <cell r="M160">
            <v>1.0029999999999999</v>
          </cell>
          <cell r="N160">
            <v>1.0029999999999999</v>
          </cell>
          <cell r="P160">
            <v>1.032</v>
          </cell>
          <cell r="Q160">
            <v>1.0349999999999999</v>
          </cell>
          <cell r="R160">
            <v>1.3045524833281539</v>
          </cell>
        </row>
        <row r="161">
          <cell r="A161">
            <v>7372</v>
          </cell>
          <cell r="B161" t="str">
            <v>FAMILY SERVICE CENTER</v>
          </cell>
          <cell r="C161" t="str">
            <v>SF</v>
          </cell>
          <cell r="D161" t="str">
            <v>B</v>
          </cell>
          <cell r="E161">
            <v>1.0740000000000001</v>
          </cell>
          <cell r="F161">
            <v>1.0209999999999999</v>
          </cell>
          <cell r="G161">
            <v>1.0269999999999999</v>
          </cell>
          <cell r="H161">
            <v>1.0029999999999999</v>
          </cell>
          <cell r="I161">
            <v>1.0289999999999999</v>
          </cell>
          <cell r="J161">
            <v>1.0049999999999999</v>
          </cell>
          <cell r="K161">
            <v>1.026</v>
          </cell>
          <cell r="L161">
            <v>1.0129999999999999</v>
          </cell>
          <cell r="M161">
            <v>1.0029999999999999</v>
          </cell>
          <cell r="N161">
            <v>1.0029999999999999</v>
          </cell>
          <cell r="O161">
            <v>1.0209999999999999</v>
          </cell>
          <cell r="P161">
            <v>1.032</v>
          </cell>
          <cell r="Q161">
            <v>1.0349999999999999</v>
          </cell>
          <cell r="R161">
            <v>1.3319480854780448</v>
          </cell>
        </row>
        <row r="162">
          <cell r="A162">
            <v>7381</v>
          </cell>
          <cell r="B162" t="str">
            <v>FORESTRY GUARD STATION</v>
          </cell>
          <cell r="C162" t="str">
            <v>SF</v>
          </cell>
          <cell r="D162" t="str">
            <v>B</v>
          </cell>
          <cell r="F162">
            <v>1.0209999999999999</v>
          </cell>
          <cell r="R162">
            <v>1.0209999999999999</v>
          </cell>
        </row>
        <row r="163">
          <cell r="A163">
            <v>7382</v>
          </cell>
          <cell r="B163" t="str">
            <v>LOCKER ROOM</v>
          </cell>
          <cell r="C163" t="str">
            <v>SF</v>
          </cell>
          <cell r="D163" t="str">
            <v>B</v>
          </cell>
          <cell r="F163">
            <v>1.0209999999999999</v>
          </cell>
          <cell r="R163">
            <v>1.0209999999999999</v>
          </cell>
        </row>
        <row r="164">
          <cell r="A164">
            <v>7384</v>
          </cell>
          <cell r="B164" t="str">
            <v>MISCELLANEOUS PERSONNEL SHELTER</v>
          </cell>
          <cell r="C164" t="str">
            <v>SF</v>
          </cell>
          <cell r="D164" t="str">
            <v>S</v>
          </cell>
          <cell r="F164">
            <v>1.0209999999999999</v>
          </cell>
          <cell r="R164">
            <v>1.0209999999999999</v>
          </cell>
        </row>
        <row r="165">
          <cell r="A165">
            <v>7385</v>
          </cell>
          <cell r="B165" t="str">
            <v>PUBLIC RESTROOM/SHOWER</v>
          </cell>
          <cell r="C165" t="str">
            <v>SF</v>
          </cell>
          <cell r="D165" t="str">
            <v>B</v>
          </cell>
          <cell r="E165">
            <v>1.0740000000000001</v>
          </cell>
          <cell r="F165">
            <v>1.0209999999999999</v>
          </cell>
          <cell r="L165">
            <v>1.0129999999999999</v>
          </cell>
          <cell r="N165">
            <v>1.0029999999999999</v>
          </cell>
          <cell r="R165">
            <v>1.1141416296059998</v>
          </cell>
        </row>
        <row r="166">
          <cell r="A166">
            <v>7386</v>
          </cell>
          <cell r="B166" t="str">
            <v>CEREMONIAL HALL</v>
          </cell>
          <cell r="C166" t="str">
            <v>SF</v>
          </cell>
          <cell r="D166" t="str">
            <v>B</v>
          </cell>
          <cell r="E166">
            <v>1.0740000000000001</v>
          </cell>
          <cell r="F166">
            <v>1.0209999999999999</v>
          </cell>
          <cell r="G166">
            <v>1.0269999999999999</v>
          </cell>
          <cell r="H166">
            <v>1.0029999999999999</v>
          </cell>
          <cell r="I166">
            <v>1.0289999999999999</v>
          </cell>
          <cell r="J166">
            <v>1.0049999999999999</v>
          </cell>
          <cell r="K166">
            <v>1.026</v>
          </cell>
          <cell r="L166">
            <v>1.0129999999999999</v>
          </cell>
          <cell r="M166">
            <v>1.0029999999999999</v>
          </cell>
          <cell r="N166">
            <v>1.0029999999999999</v>
          </cell>
          <cell r="O166">
            <v>1.0209999999999999</v>
          </cell>
          <cell r="P166">
            <v>1.032</v>
          </cell>
          <cell r="Q166">
            <v>1.0349999999999999</v>
          </cell>
          <cell r="R166">
            <v>1.3319480854780448</v>
          </cell>
        </row>
        <row r="167">
          <cell r="A167">
            <v>7387</v>
          </cell>
          <cell r="B167" t="str">
            <v>EXCHANGE SUPPORT FACILITY</v>
          </cell>
          <cell r="C167" t="str">
            <v>SF</v>
          </cell>
          <cell r="D167" t="str">
            <v>B</v>
          </cell>
          <cell r="F167">
            <v>1.0209999999999999</v>
          </cell>
          <cell r="R167">
            <v>1.0209999999999999</v>
          </cell>
        </row>
        <row r="168">
          <cell r="A168">
            <v>7411</v>
          </cell>
          <cell r="B168" t="str">
            <v>HOBBY AND CRAFT CENTER</v>
          </cell>
          <cell r="C168" t="str">
            <v>SF</v>
          </cell>
          <cell r="D168" t="str">
            <v>B</v>
          </cell>
          <cell r="F168">
            <v>1.0209999999999999</v>
          </cell>
          <cell r="R168">
            <v>1.0209999999999999</v>
          </cell>
        </row>
        <row r="169">
          <cell r="A169">
            <v>7412</v>
          </cell>
          <cell r="B169" t="str">
            <v>AUTOMOBILE CRAFT CENTER</v>
          </cell>
          <cell r="C169" t="str">
            <v>SF</v>
          </cell>
          <cell r="D169" t="str">
            <v>B</v>
          </cell>
          <cell r="F169">
            <v>1.0209999999999999</v>
          </cell>
          <cell r="H169">
            <v>1.0029999999999999</v>
          </cell>
          <cell r="R169">
            <v>1.0240629999999997</v>
          </cell>
        </row>
        <row r="170">
          <cell r="A170">
            <v>7413</v>
          </cell>
          <cell r="B170" t="str">
            <v>GOLF CLUB HOUSE AND SALES</v>
          </cell>
          <cell r="C170" t="str">
            <v>SF</v>
          </cell>
          <cell r="D170" t="str">
            <v>B</v>
          </cell>
          <cell r="E170">
            <v>1.0740000000000001</v>
          </cell>
          <cell r="F170">
            <v>1.0209999999999999</v>
          </cell>
          <cell r="G170">
            <v>1.0269999999999999</v>
          </cell>
          <cell r="H170">
            <v>1.0029999999999999</v>
          </cell>
          <cell r="I170">
            <v>1.0289999999999999</v>
          </cell>
          <cell r="J170">
            <v>1.0049999999999999</v>
          </cell>
          <cell r="K170">
            <v>1.026</v>
          </cell>
          <cell r="L170">
            <v>1.0129999999999999</v>
          </cell>
          <cell r="M170">
            <v>1.0029999999999999</v>
          </cell>
          <cell r="N170">
            <v>1.0029999999999999</v>
          </cell>
          <cell r="O170">
            <v>1.0209999999999999</v>
          </cell>
          <cell r="P170">
            <v>1.032</v>
          </cell>
          <cell r="Q170">
            <v>1.0349999999999999</v>
          </cell>
          <cell r="R170">
            <v>1.3319480854780448</v>
          </cell>
        </row>
        <row r="171">
          <cell r="A171">
            <v>7414</v>
          </cell>
          <cell r="B171" t="str">
            <v>CLUB AND ORGANIZATION BUILDING</v>
          </cell>
          <cell r="C171" t="str">
            <v>SF</v>
          </cell>
          <cell r="D171" t="str">
            <v>B</v>
          </cell>
          <cell r="E171">
            <v>1.0740000000000001</v>
          </cell>
          <cell r="F171">
            <v>1.0209999999999999</v>
          </cell>
          <cell r="G171">
            <v>1.0269999999999999</v>
          </cell>
          <cell r="H171">
            <v>1.0029999999999999</v>
          </cell>
          <cell r="I171">
            <v>1.0289999999999999</v>
          </cell>
          <cell r="J171">
            <v>1.0049999999999999</v>
          </cell>
          <cell r="K171">
            <v>1.026</v>
          </cell>
          <cell r="L171">
            <v>1.0129999999999999</v>
          </cell>
          <cell r="M171">
            <v>1.0029999999999999</v>
          </cell>
          <cell r="N171">
            <v>1.0029999999999999</v>
          </cell>
          <cell r="O171">
            <v>1.0209999999999999</v>
          </cell>
          <cell r="R171">
            <v>1.2470022895162014</v>
          </cell>
        </row>
        <row r="172">
          <cell r="A172">
            <v>7415</v>
          </cell>
          <cell r="B172" t="str">
            <v>BOWLING CENTER</v>
          </cell>
          <cell r="C172" t="str">
            <v>SF</v>
          </cell>
          <cell r="D172" t="str">
            <v>B</v>
          </cell>
          <cell r="E172">
            <v>1.0740000000000001</v>
          </cell>
          <cell r="F172">
            <v>1.0209999999999999</v>
          </cell>
          <cell r="G172">
            <v>1.0269999999999999</v>
          </cell>
          <cell r="H172">
            <v>1.0029999999999999</v>
          </cell>
          <cell r="I172">
            <v>1.0289999999999999</v>
          </cell>
          <cell r="J172">
            <v>1.0049999999999999</v>
          </cell>
          <cell r="M172">
            <v>1.0029999999999999</v>
          </cell>
          <cell r="N172">
            <v>1.0029999999999999</v>
          </cell>
          <cell r="O172">
            <v>1.0209999999999999</v>
          </cell>
          <cell r="P172">
            <v>1.032</v>
          </cell>
          <cell r="Q172">
            <v>1.0349999999999999</v>
          </cell>
          <cell r="R172">
            <v>1.2815350593147223</v>
          </cell>
        </row>
        <row r="173">
          <cell r="A173">
            <v>7416</v>
          </cell>
          <cell r="B173" t="str">
            <v>LIBRARY, GENERAL USE</v>
          </cell>
          <cell r="C173" t="str">
            <v>SF</v>
          </cell>
          <cell r="D173" t="str">
            <v>B</v>
          </cell>
          <cell r="E173">
            <v>1.0740000000000001</v>
          </cell>
          <cell r="F173">
            <v>1.0209999999999999</v>
          </cell>
          <cell r="G173">
            <v>1.0269999999999999</v>
          </cell>
          <cell r="H173">
            <v>1.0029999999999999</v>
          </cell>
          <cell r="I173">
            <v>1.0289999999999999</v>
          </cell>
          <cell r="J173">
            <v>1.0049999999999999</v>
          </cell>
          <cell r="K173">
            <v>1.026</v>
          </cell>
          <cell r="L173">
            <v>1.0129999999999999</v>
          </cell>
          <cell r="M173">
            <v>1.0029999999999999</v>
          </cell>
          <cell r="N173">
            <v>1.0029999999999999</v>
          </cell>
          <cell r="O173">
            <v>1.0209999999999999</v>
          </cell>
          <cell r="P173">
            <v>1.032</v>
          </cell>
          <cell r="Q173">
            <v>1.0349999999999999</v>
          </cell>
          <cell r="R173">
            <v>1.3319480854780448</v>
          </cell>
        </row>
        <row r="174">
          <cell r="A174">
            <v>7417</v>
          </cell>
          <cell r="B174" t="str">
            <v>RECREATION CENTER</v>
          </cell>
          <cell r="C174" t="str">
            <v>SF</v>
          </cell>
          <cell r="D174" t="str">
            <v>B</v>
          </cell>
          <cell r="E174">
            <v>1.0740000000000001</v>
          </cell>
          <cell r="F174">
            <v>1.0209999999999999</v>
          </cell>
          <cell r="G174">
            <v>1.0269999999999999</v>
          </cell>
          <cell r="H174">
            <v>1.0029999999999999</v>
          </cell>
          <cell r="I174">
            <v>1.0289999999999999</v>
          </cell>
          <cell r="J174">
            <v>1.0049999999999999</v>
          </cell>
          <cell r="L174">
            <v>1.0129999999999999</v>
          </cell>
          <cell r="M174">
            <v>1.0029999999999999</v>
          </cell>
          <cell r="N174">
            <v>1.0029999999999999</v>
          </cell>
          <cell r="O174">
            <v>1.0209999999999999</v>
          </cell>
          <cell r="P174">
            <v>1.032</v>
          </cell>
          <cell r="Q174">
            <v>1.0349999999999999</v>
          </cell>
          <cell r="R174">
            <v>1.2981950150858137</v>
          </cell>
        </row>
        <row r="175">
          <cell r="A175">
            <v>7418</v>
          </cell>
          <cell r="B175" t="str">
            <v>INDOOR SKATING RINK</v>
          </cell>
          <cell r="C175" t="str">
            <v>SF</v>
          </cell>
          <cell r="D175" t="str">
            <v>B</v>
          </cell>
          <cell r="F175">
            <v>1.0209999999999999</v>
          </cell>
          <cell r="G175">
            <v>1.0269999999999999</v>
          </cell>
          <cell r="H175">
            <v>1.0029999999999999</v>
          </cell>
          <cell r="I175">
            <v>1.0289999999999999</v>
          </cell>
          <cell r="J175">
            <v>1.0049999999999999</v>
          </cell>
          <cell r="N175">
            <v>1.0029999999999999</v>
          </cell>
          <cell r="O175">
            <v>1.0209999999999999</v>
          </cell>
          <cell r="P175">
            <v>1.032</v>
          </cell>
          <cell r="Q175">
            <v>1.0349999999999999</v>
          </cell>
          <cell r="R175">
            <v>1.1896666233280813</v>
          </cell>
        </row>
        <row r="176">
          <cell r="A176">
            <v>7422</v>
          </cell>
          <cell r="B176" t="str">
            <v>INDOOR SWIMMING POOL</v>
          </cell>
          <cell r="C176" t="str">
            <v>SF</v>
          </cell>
          <cell r="D176" t="str">
            <v>B</v>
          </cell>
          <cell r="F176">
            <v>1.0209999999999999</v>
          </cell>
          <cell r="G176">
            <v>1.0269999999999999</v>
          </cell>
          <cell r="H176">
            <v>1.0029999999999999</v>
          </cell>
          <cell r="I176">
            <v>1.0289999999999999</v>
          </cell>
          <cell r="J176">
            <v>1.0049999999999999</v>
          </cell>
          <cell r="L176">
            <v>1.0129999999999999</v>
          </cell>
          <cell r="N176">
            <v>1.0029999999999999</v>
          </cell>
          <cell r="O176">
            <v>1.0209999999999999</v>
          </cell>
          <cell r="P176">
            <v>1.032</v>
          </cell>
          <cell r="Q176">
            <v>1.0349999999999999</v>
          </cell>
          <cell r="R176">
            <v>1.2051322894313463</v>
          </cell>
        </row>
        <row r="177">
          <cell r="A177">
            <v>7431</v>
          </cell>
          <cell r="B177" t="str">
            <v>AUDITORIUM AND THEATER FACILITY</v>
          </cell>
          <cell r="C177" t="str">
            <v>SF</v>
          </cell>
          <cell r="D177" t="str">
            <v>B</v>
          </cell>
          <cell r="E177">
            <v>1.0740000000000001</v>
          </cell>
          <cell r="F177">
            <v>1.0209999999999999</v>
          </cell>
          <cell r="G177">
            <v>1.0269999999999999</v>
          </cell>
          <cell r="H177">
            <v>1.0029999999999999</v>
          </cell>
          <cell r="I177">
            <v>1.0289999999999999</v>
          </cell>
          <cell r="J177">
            <v>1.0049999999999999</v>
          </cell>
          <cell r="K177">
            <v>1.026</v>
          </cell>
          <cell r="M177">
            <v>1.0029999999999999</v>
          </cell>
          <cell r="N177">
            <v>1.0029999999999999</v>
          </cell>
          <cell r="O177">
            <v>1.0209999999999999</v>
          </cell>
          <cell r="P177">
            <v>1.032</v>
          </cell>
          <cell r="Q177">
            <v>1.0349999999999999</v>
          </cell>
          <cell r="R177">
            <v>1.3148549708569053</v>
          </cell>
        </row>
        <row r="178">
          <cell r="A178">
            <v>7440</v>
          </cell>
          <cell r="B178" t="str">
            <v>COMMUNITY ACTIVIES / CONFERENCE CENTER</v>
          </cell>
          <cell r="C178" t="str">
            <v>SF</v>
          </cell>
          <cell r="D178" t="str">
            <v>B</v>
          </cell>
          <cell r="E178">
            <v>1.0740000000000001</v>
          </cell>
          <cell r="F178">
            <v>1.0209999999999999</v>
          </cell>
          <cell r="G178">
            <v>1.0269999999999999</v>
          </cell>
          <cell r="H178">
            <v>1.0029999999999999</v>
          </cell>
          <cell r="I178">
            <v>1.0289999999999999</v>
          </cell>
          <cell r="J178">
            <v>1.0049999999999999</v>
          </cell>
          <cell r="K178">
            <v>1.026</v>
          </cell>
          <cell r="M178">
            <v>1.0029999999999999</v>
          </cell>
          <cell r="N178">
            <v>1.0029999999999999</v>
          </cell>
          <cell r="O178">
            <v>1.0209999999999999</v>
          </cell>
          <cell r="P178">
            <v>1.032</v>
          </cell>
          <cell r="Q178">
            <v>1.0349999999999999</v>
          </cell>
          <cell r="R178">
            <v>1.3148549708569053</v>
          </cell>
        </row>
        <row r="179">
          <cell r="A179">
            <v>7442</v>
          </cell>
          <cell r="B179" t="str">
            <v>RECREATIONAL LODGING</v>
          </cell>
          <cell r="C179" t="str">
            <v>SF</v>
          </cell>
          <cell r="D179" t="str">
            <v>B</v>
          </cell>
          <cell r="F179">
            <v>1.0209999999999999</v>
          </cell>
          <cell r="G179">
            <v>1.0269999999999999</v>
          </cell>
          <cell r="J179">
            <v>1.0049999999999999</v>
          </cell>
          <cell r="N179">
            <v>1.0029999999999999</v>
          </cell>
          <cell r="P179">
            <v>1.032</v>
          </cell>
          <cell r="Q179">
            <v>1.0349999999999999</v>
          </cell>
          <cell r="R179">
            <v>1.12897214704308</v>
          </cell>
        </row>
        <row r="180">
          <cell r="A180">
            <v>7443</v>
          </cell>
          <cell r="B180" t="str">
            <v>TRANSIENT AND RECREATIONAL LODGING SUPPORT FACILITY</v>
          </cell>
          <cell r="C180" t="str">
            <v>SF</v>
          </cell>
          <cell r="D180" t="str">
            <v>B</v>
          </cell>
          <cell r="F180">
            <v>1.0209999999999999</v>
          </cell>
          <cell r="H180">
            <v>1.0029999999999999</v>
          </cell>
          <cell r="I180">
            <v>1.0289999999999999</v>
          </cell>
          <cell r="J180">
            <v>1.0049999999999999</v>
          </cell>
          <cell r="R180">
            <v>1.0590296311349996</v>
          </cell>
        </row>
        <row r="181">
          <cell r="A181">
            <v>7444</v>
          </cell>
          <cell r="B181" t="str">
            <v>STABLE</v>
          </cell>
          <cell r="C181" t="str">
            <v>SF</v>
          </cell>
          <cell r="D181" t="str">
            <v>B</v>
          </cell>
          <cell r="F181">
            <v>1.0209999999999999</v>
          </cell>
          <cell r="R181">
            <v>1.0209999999999999</v>
          </cell>
        </row>
        <row r="182">
          <cell r="A182">
            <v>7445</v>
          </cell>
          <cell r="B182" t="str">
            <v>BOATHOUSE</v>
          </cell>
          <cell r="C182" t="str">
            <v>SF</v>
          </cell>
          <cell r="D182" t="str">
            <v>B</v>
          </cell>
          <cell r="F182">
            <v>1.0209999999999999</v>
          </cell>
          <cell r="R182">
            <v>1.0209999999999999</v>
          </cell>
        </row>
        <row r="183">
          <cell r="A183">
            <v>7446</v>
          </cell>
          <cell r="B183" t="str">
            <v>MISCELLANEOUS MWR FACILITY</v>
          </cell>
          <cell r="C183" t="str">
            <v>SF</v>
          </cell>
          <cell r="D183" t="str">
            <v>B</v>
          </cell>
          <cell r="F183">
            <v>1.0209999999999999</v>
          </cell>
          <cell r="R183">
            <v>1.0209999999999999</v>
          </cell>
        </row>
        <row r="184">
          <cell r="A184">
            <v>7448</v>
          </cell>
          <cell r="B184" t="str">
            <v>RECREATIONAL SUPPORT BUILDING</v>
          </cell>
          <cell r="C184" t="str">
            <v>SF</v>
          </cell>
          <cell r="D184" t="str">
            <v>B</v>
          </cell>
          <cell r="F184">
            <v>1.0209999999999999</v>
          </cell>
          <cell r="G184">
            <v>1.0269999999999999</v>
          </cell>
          <cell r="L184">
            <v>1.0129999999999999</v>
          </cell>
          <cell r="N184">
            <v>1.0029999999999999</v>
          </cell>
          <cell r="P184">
            <v>1.032</v>
          </cell>
          <cell r="Q184">
            <v>1.0349999999999999</v>
          </cell>
          <cell r="R184">
            <v>1.1379589900046172</v>
          </cell>
        </row>
        <row r="185">
          <cell r="A185">
            <v>7449</v>
          </cell>
          <cell r="B185" t="str">
            <v>RETAIL KENNEL</v>
          </cell>
          <cell r="C185" t="str">
            <v>SF</v>
          </cell>
          <cell r="D185" t="str">
            <v>B</v>
          </cell>
          <cell r="E185">
            <v>1.0740000000000001</v>
          </cell>
          <cell r="F185">
            <v>1.0209999999999999</v>
          </cell>
          <cell r="G185">
            <v>1.0269999999999999</v>
          </cell>
          <cell r="H185">
            <v>1.0029999999999999</v>
          </cell>
          <cell r="I185">
            <v>1.0289999999999999</v>
          </cell>
          <cell r="J185">
            <v>1.0049999999999999</v>
          </cell>
          <cell r="K185">
            <v>1.026</v>
          </cell>
          <cell r="L185">
            <v>1.0129999999999999</v>
          </cell>
          <cell r="M185">
            <v>1.0029999999999999</v>
          </cell>
          <cell r="N185">
            <v>1.0029999999999999</v>
          </cell>
          <cell r="O185">
            <v>1.0209999999999999</v>
          </cell>
          <cell r="P185">
            <v>1.032</v>
          </cell>
          <cell r="Q185">
            <v>1.0349999999999999</v>
          </cell>
          <cell r="R185">
            <v>1.3319480854780448</v>
          </cell>
        </row>
        <row r="186">
          <cell r="A186">
            <v>7512</v>
          </cell>
          <cell r="B186" t="str">
            <v>OUTDOOR SWIMMING POOL</v>
          </cell>
          <cell r="C186" t="str">
            <v>EA</v>
          </cell>
          <cell r="D186" t="str">
            <v>S</v>
          </cell>
          <cell r="F186">
            <v>1.0209999999999999</v>
          </cell>
          <cell r="G186">
            <v>1.0269999999999999</v>
          </cell>
          <cell r="L186">
            <v>1.0129999999999999</v>
          </cell>
          <cell r="N186">
            <v>1.0029999999999999</v>
          </cell>
          <cell r="P186">
            <v>1.032</v>
          </cell>
          <cell r="Q186">
            <v>1.0349999999999999</v>
          </cell>
          <cell r="R186">
            <v>1.1379589900046172</v>
          </cell>
        </row>
        <row r="187">
          <cell r="A187">
            <v>7513</v>
          </cell>
          <cell r="B187" t="str">
            <v>GOLF COURSE</v>
          </cell>
          <cell r="C187" t="str">
            <v>EA</v>
          </cell>
          <cell r="D187" t="str">
            <v>S</v>
          </cell>
          <cell r="F187">
            <v>1.0209999999999999</v>
          </cell>
          <cell r="G187">
            <v>1.0269999999999999</v>
          </cell>
          <cell r="P187">
            <v>1.032</v>
          </cell>
          <cell r="Q187">
            <v>1.0349999999999999</v>
          </cell>
          <cell r="R187">
            <v>1.1199953840399997</v>
          </cell>
        </row>
        <row r="188">
          <cell r="A188">
            <v>7514</v>
          </cell>
          <cell r="B188" t="str">
            <v>GOLF DRIVING RANGE</v>
          </cell>
          <cell r="C188" t="str">
            <v>EA</v>
          </cell>
          <cell r="D188" t="str">
            <v>S</v>
          </cell>
          <cell r="F188">
            <v>1.0209999999999999</v>
          </cell>
          <cell r="G188">
            <v>1.0269999999999999</v>
          </cell>
          <cell r="P188">
            <v>1.032</v>
          </cell>
          <cell r="Q188">
            <v>1.0349999999999999</v>
          </cell>
          <cell r="R188">
            <v>1.1199953840399997</v>
          </cell>
        </row>
        <row r="189">
          <cell r="A189">
            <v>7515</v>
          </cell>
          <cell r="B189" t="str">
            <v>GOLF PITCH AND PUTT COURSE</v>
          </cell>
          <cell r="C189" t="str">
            <v>EA</v>
          </cell>
          <cell r="D189" t="str">
            <v>S</v>
          </cell>
          <cell r="F189">
            <v>1.0209999999999999</v>
          </cell>
          <cell r="P189">
            <v>1.032</v>
          </cell>
          <cell r="Q189">
            <v>1.0349999999999999</v>
          </cell>
          <cell r="R189">
            <v>1.0905505199999999</v>
          </cell>
        </row>
        <row r="190">
          <cell r="A190">
            <v>7516</v>
          </cell>
          <cell r="B190" t="str">
            <v>OUTDOOR RECREATION AREA</v>
          </cell>
          <cell r="C190" t="str">
            <v>EA</v>
          </cell>
          <cell r="D190" t="str">
            <v>S</v>
          </cell>
          <cell r="F190">
            <v>1.0209999999999999</v>
          </cell>
          <cell r="R190">
            <v>1.0209999999999999</v>
          </cell>
        </row>
        <row r="191">
          <cell r="A191">
            <v>7517</v>
          </cell>
          <cell r="B191" t="str">
            <v>RECREATIONAL PIER</v>
          </cell>
          <cell r="C191" t="str">
            <v>EA</v>
          </cell>
          <cell r="D191" t="str">
            <v>S</v>
          </cell>
          <cell r="F191">
            <v>1.0209999999999999</v>
          </cell>
          <cell r="R191">
            <v>1.0209999999999999</v>
          </cell>
        </row>
        <row r="192">
          <cell r="A192">
            <v>7518</v>
          </cell>
          <cell r="B192" t="str">
            <v>MARINA</v>
          </cell>
          <cell r="C192" t="str">
            <v>EA</v>
          </cell>
          <cell r="D192" t="str">
            <v>S</v>
          </cell>
          <cell r="F192">
            <v>1.0209999999999999</v>
          </cell>
          <cell r="G192">
            <v>1.0269999999999999</v>
          </cell>
          <cell r="P192">
            <v>1.032</v>
          </cell>
          <cell r="Q192">
            <v>1.0349999999999999</v>
          </cell>
          <cell r="R192">
            <v>1.1199953840399997</v>
          </cell>
        </row>
        <row r="193">
          <cell r="A193">
            <v>7521</v>
          </cell>
          <cell r="B193" t="str">
            <v>OUTDOOR PLAYING COURT</v>
          </cell>
          <cell r="C193" t="str">
            <v>EA</v>
          </cell>
          <cell r="D193" t="str">
            <v>S</v>
          </cell>
          <cell r="F193">
            <v>1.0209999999999999</v>
          </cell>
          <cell r="R193">
            <v>1.0209999999999999</v>
          </cell>
        </row>
        <row r="194">
          <cell r="A194">
            <v>7523</v>
          </cell>
          <cell r="B194" t="str">
            <v>RUNNING TRACK</v>
          </cell>
          <cell r="C194" t="str">
            <v>EA</v>
          </cell>
          <cell r="D194" t="str">
            <v>S</v>
          </cell>
          <cell r="F194">
            <v>1.0209999999999999</v>
          </cell>
          <cell r="G194">
            <v>1.0269999999999999</v>
          </cell>
          <cell r="R194">
            <v>1.0485669999999998</v>
          </cell>
        </row>
        <row r="195">
          <cell r="A195">
            <v>7524</v>
          </cell>
          <cell r="B195" t="str">
            <v>STADIUM</v>
          </cell>
          <cell r="C195" t="str">
            <v>EA</v>
          </cell>
          <cell r="D195" t="str">
            <v>S</v>
          </cell>
          <cell r="F195">
            <v>1.0209999999999999</v>
          </cell>
          <cell r="G195">
            <v>1.0269999999999999</v>
          </cell>
          <cell r="P195">
            <v>1.032</v>
          </cell>
          <cell r="Q195">
            <v>1.0349999999999999</v>
          </cell>
          <cell r="R195">
            <v>1.1199953840399997</v>
          </cell>
        </row>
        <row r="196">
          <cell r="A196">
            <v>7531</v>
          </cell>
          <cell r="B196" t="str">
            <v>PAVILION</v>
          </cell>
          <cell r="C196" t="str">
            <v>SF</v>
          </cell>
          <cell r="D196" t="str">
            <v>S</v>
          </cell>
          <cell r="F196">
            <v>1.0209999999999999</v>
          </cell>
          <cell r="R196">
            <v>1.0209999999999999</v>
          </cell>
        </row>
        <row r="197">
          <cell r="A197">
            <v>7532</v>
          </cell>
          <cell r="B197" t="str">
            <v>OUTDOOR THEATER</v>
          </cell>
          <cell r="C197" t="str">
            <v>EA</v>
          </cell>
          <cell r="D197" t="str">
            <v>S</v>
          </cell>
          <cell r="F197">
            <v>1.0209999999999999</v>
          </cell>
          <cell r="G197">
            <v>1.0269999999999999</v>
          </cell>
          <cell r="R197">
            <v>1.0485669999999998</v>
          </cell>
        </row>
        <row r="198">
          <cell r="A198">
            <v>7541</v>
          </cell>
          <cell r="B198" t="str">
            <v>RECREATIONAL CAMP AND TRAILER PARK</v>
          </cell>
          <cell r="C198" t="str">
            <v>EA</v>
          </cell>
          <cell r="D198" t="str">
            <v>S</v>
          </cell>
          <cell r="F198">
            <v>1.0209999999999999</v>
          </cell>
          <cell r="G198">
            <v>1.0269999999999999</v>
          </cell>
          <cell r="R198">
            <v>1.0485669999999998</v>
          </cell>
        </row>
        <row r="199">
          <cell r="A199">
            <v>7542</v>
          </cell>
          <cell r="B199" t="str">
            <v>MISCELLANEOUS OUTDOOR RECREATION FACILITY</v>
          </cell>
          <cell r="C199" t="str">
            <v>EA</v>
          </cell>
          <cell r="D199" t="str">
            <v>S</v>
          </cell>
          <cell r="F199">
            <v>1.0209999999999999</v>
          </cell>
          <cell r="G199">
            <v>1.0269999999999999</v>
          </cell>
          <cell r="R199">
            <v>1.0485669999999998</v>
          </cell>
        </row>
        <row r="200">
          <cell r="A200">
            <v>7601</v>
          </cell>
          <cell r="B200" t="str">
            <v>MUSEUM</v>
          </cell>
          <cell r="C200" t="str">
            <v>SF</v>
          </cell>
          <cell r="D200" t="str">
            <v>B</v>
          </cell>
          <cell r="E200">
            <v>1.0740000000000001</v>
          </cell>
          <cell r="F200">
            <v>1.0209999999999999</v>
          </cell>
          <cell r="G200">
            <v>1.0269999999999999</v>
          </cell>
          <cell r="H200">
            <v>1.0029999999999999</v>
          </cell>
          <cell r="I200">
            <v>1.0289999999999999</v>
          </cell>
          <cell r="J200">
            <v>1.0049999999999999</v>
          </cell>
          <cell r="K200">
            <v>1.026</v>
          </cell>
          <cell r="L200">
            <v>1.0129999999999999</v>
          </cell>
          <cell r="M200">
            <v>1.0029999999999999</v>
          </cell>
          <cell r="N200">
            <v>1.0029999999999999</v>
          </cell>
          <cell r="O200">
            <v>1.0209999999999999</v>
          </cell>
          <cell r="P200">
            <v>1.032</v>
          </cell>
          <cell r="Q200">
            <v>1.0349999999999999</v>
          </cell>
          <cell r="R200">
            <v>1.3319480854780448</v>
          </cell>
        </row>
        <row r="201">
          <cell r="A201">
            <v>7604</v>
          </cell>
          <cell r="B201" t="str">
            <v>COLUMBARIUM</v>
          </cell>
          <cell r="C201" t="str">
            <v>CF</v>
          </cell>
          <cell r="D201" t="str">
            <v>S</v>
          </cell>
          <cell r="F201">
            <v>1.0209999999999999</v>
          </cell>
          <cell r="G201">
            <v>1.0269999999999999</v>
          </cell>
          <cell r="P201">
            <v>1.032</v>
          </cell>
          <cell r="Q201">
            <v>1.0349999999999999</v>
          </cell>
          <cell r="R201">
            <v>1.1199953840399997</v>
          </cell>
        </row>
        <row r="202">
          <cell r="A202">
            <v>8111</v>
          </cell>
          <cell r="B202" t="str">
            <v>ELECTRICAL POWER SOURCE</v>
          </cell>
          <cell r="C202" t="str">
            <v>KW</v>
          </cell>
          <cell r="D202" t="str">
            <v>S</v>
          </cell>
          <cell r="F202">
            <v>1.0209999999999999</v>
          </cell>
          <cell r="P202">
            <v>1.032</v>
          </cell>
          <cell r="Q202">
            <v>1.0349999999999999</v>
          </cell>
          <cell r="R202">
            <v>1.0905505199999999</v>
          </cell>
        </row>
        <row r="203">
          <cell r="A203">
            <v>8113</v>
          </cell>
          <cell r="B203" t="str">
            <v>ELECTRICAL POWER SOURCE HYDROELECTRIC</v>
          </cell>
          <cell r="C203" t="str">
            <v>MW</v>
          </cell>
          <cell r="D203" t="str">
            <v>S</v>
          </cell>
          <cell r="F203">
            <v>1.0209999999999999</v>
          </cell>
          <cell r="G203">
            <v>1.0269999999999999</v>
          </cell>
          <cell r="P203">
            <v>1.032</v>
          </cell>
          <cell r="Q203">
            <v>1.0349999999999999</v>
          </cell>
          <cell r="R203">
            <v>1.1199953840399997</v>
          </cell>
        </row>
        <row r="204">
          <cell r="A204">
            <v>8114</v>
          </cell>
          <cell r="B204" t="str">
            <v>ELECTRICAL POWER SOURCE, WIND GENERATED</v>
          </cell>
          <cell r="C204" t="str">
            <v>KW</v>
          </cell>
          <cell r="D204" t="str">
            <v>S</v>
          </cell>
          <cell r="F204">
            <v>1.0209999999999999</v>
          </cell>
          <cell r="G204">
            <v>1.0269999999999999</v>
          </cell>
          <cell r="P204">
            <v>1.032</v>
          </cell>
          <cell r="Q204">
            <v>1.0349999999999999</v>
          </cell>
          <cell r="R204">
            <v>1.1199953840399997</v>
          </cell>
        </row>
        <row r="205">
          <cell r="A205">
            <v>8115</v>
          </cell>
          <cell r="B205" t="str">
            <v>ELECTRICAL POWER SOURCE, PHOTOVOLTAIC</v>
          </cell>
          <cell r="C205" t="str">
            <v>KW</v>
          </cell>
          <cell r="D205" t="str">
            <v>S</v>
          </cell>
          <cell r="F205">
            <v>1.0209999999999999</v>
          </cell>
          <cell r="G205">
            <v>1.0269999999999999</v>
          </cell>
          <cell r="P205">
            <v>1.032</v>
          </cell>
          <cell r="Q205">
            <v>1.0349999999999999</v>
          </cell>
          <cell r="R205">
            <v>1.1199953840399997</v>
          </cell>
        </row>
        <row r="206">
          <cell r="A206">
            <v>8122</v>
          </cell>
          <cell r="B206" t="str">
            <v>EXTERIOR LIGHTING, POLE</v>
          </cell>
          <cell r="C206" t="str">
            <v>EA</v>
          </cell>
          <cell r="D206" t="str">
            <v>S</v>
          </cell>
          <cell r="F206">
            <v>1.0209999999999999</v>
          </cell>
          <cell r="P206">
            <v>1.032</v>
          </cell>
          <cell r="Q206">
            <v>1.0349999999999999</v>
          </cell>
          <cell r="R206">
            <v>1.0905505199999999</v>
          </cell>
        </row>
        <row r="207">
          <cell r="A207">
            <v>8134</v>
          </cell>
          <cell r="B207" t="str">
            <v>LIGHTNING PROTECTION SYSTEM, STAND-ALONE</v>
          </cell>
          <cell r="C207" t="str">
            <v>EA</v>
          </cell>
          <cell r="D207" t="str">
            <v>S</v>
          </cell>
          <cell r="F207">
            <v>1.0209999999999999</v>
          </cell>
          <cell r="P207">
            <v>1.032</v>
          </cell>
          <cell r="Q207">
            <v>1.0349999999999999</v>
          </cell>
          <cell r="R207">
            <v>1.0905505199999999</v>
          </cell>
        </row>
        <row r="208">
          <cell r="A208">
            <v>8211</v>
          </cell>
          <cell r="B208" t="str">
            <v>HEAT SOURCE</v>
          </cell>
          <cell r="C208" t="str">
            <v>MB</v>
          </cell>
          <cell r="D208" t="str">
            <v>S</v>
          </cell>
          <cell r="F208">
            <v>1.0209999999999999</v>
          </cell>
          <cell r="P208">
            <v>1.032</v>
          </cell>
          <cell r="Q208">
            <v>1.0349999999999999</v>
          </cell>
          <cell r="R208">
            <v>1.0905505199999999</v>
          </cell>
        </row>
        <row r="209">
          <cell r="A209">
            <v>8231</v>
          </cell>
          <cell r="B209" t="str">
            <v>HEAT GAS PRODUCTION PLANT</v>
          </cell>
          <cell r="C209" t="str">
            <v>MB</v>
          </cell>
          <cell r="D209" t="str">
            <v>S</v>
          </cell>
          <cell r="F209">
            <v>1.0209999999999999</v>
          </cell>
          <cell r="P209">
            <v>1.032</v>
          </cell>
          <cell r="Q209">
            <v>1.0349999999999999</v>
          </cell>
          <cell r="R209">
            <v>1.0905505199999999</v>
          </cell>
        </row>
        <row r="210">
          <cell r="A210">
            <v>8232</v>
          </cell>
          <cell r="B210" t="str">
            <v>HEAT GAS STORAGE</v>
          </cell>
          <cell r="C210" t="str">
            <v>EA</v>
          </cell>
          <cell r="D210" t="str">
            <v>S</v>
          </cell>
          <cell r="F210">
            <v>1.0209999999999999</v>
          </cell>
          <cell r="P210">
            <v>1.032</v>
          </cell>
          <cell r="Q210">
            <v>1.0349999999999999</v>
          </cell>
          <cell r="R210">
            <v>1.0905505199999999</v>
          </cell>
        </row>
        <row r="211">
          <cell r="A211">
            <v>8241</v>
          </cell>
          <cell r="B211" t="str">
            <v>HEAT GAS DISTRIBUTION LINE</v>
          </cell>
          <cell r="C211" t="str">
            <v>LF</v>
          </cell>
          <cell r="D211" t="str">
            <v>LS</v>
          </cell>
          <cell r="F211">
            <v>1.0209999999999999</v>
          </cell>
          <cell r="P211">
            <v>1.032</v>
          </cell>
          <cell r="Q211">
            <v>1.0349999999999999</v>
          </cell>
          <cell r="R211">
            <v>1.0905505199999999</v>
          </cell>
        </row>
        <row r="212">
          <cell r="A212">
            <v>8261</v>
          </cell>
          <cell r="B212" t="str">
            <v>REFRIGERATION AND AIR CONDITIONING SOURCE</v>
          </cell>
          <cell r="C212" t="str">
            <v>TR</v>
          </cell>
          <cell r="D212" t="str">
            <v>S</v>
          </cell>
          <cell r="F212">
            <v>1.0209999999999999</v>
          </cell>
          <cell r="P212">
            <v>1.032</v>
          </cell>
          <cell r="Q212">
            <v>1.0349999999999999</v>
          </cell>
          <cell r="R212">
            <v>1.0905505199999999</v>
          </cell>
        </row>
        <row r="213">
          <cell r="A213">
            <v>8271</v>
          </cell>
          <cell r="B213" t="str">
            <v>CHILLED WATER AND REFRIGERANT DISTRIBUTION LINE</v>
          </cell>
          <cell r="C213" t="str">
            <v>LF</v>
          </cell>
          <cell r="D213" t="str">
            <v>LS</v>
          </cell>
          <cell r="F213">
            <v>1.0209999999999999</v>
          </cell>
          <cell r="P213">
            <v>1.032</v>
          </cell>
          <cell r="Q213">
            <v>1.0349999999999999</v>
          </cell>
          <cell r="R213">
            <v>1.0905505199999999</v>
          </cell>
        </row>
        <row r="214">
          <cell r="A214">
            <v>8311</v>
          </cell>
          <cell r="B214" t="str">
            <v>SEWAGE TREATMENT</v>
          </cell>
          <cell r="C214" t="str">
            <v>KG</v>
          </cell>
          <cell r="D214" t="str">
            <v>S</v>
          </cell>
          <cell r="F214">
            <v>1.0209999999999999</v>
          </cell>
          <cell r="G214">
            <v>1.0269999999999999</v>
          </cell>
          <cell r="P214">
            <v>1.032</v>
          </cell>
          <cell r="Q214">
            <v>1.0349999999999999</v>
          </cell>
          <cell r="R214">
            <v>1.1199953840399997</v>
          </cell>
        </row>
        <row r="215">
          <cell r="A215">
            <v>8312</v>
          </cell>
          <cell r="B215" t="str">
            <v>INDUSTRIAL WASTE TREATMENT</v>
          </cell>
          <cell r="C215" t="str">
            <v>KG</v>
          </cell>
          <cell r="D215" t="str">
            <v>S</v>
          </cell>
          <cell r="F215">
            <v>1.0209999999999999</v>
          </cell>
          <cell r="G215">
            <v>1.0269999999999999</v>
          </cell>
          <cell r="P215">
            <v>1.032</v>
          </cell>
          <cell r="Q215">
            <v>1.0349999999999999</v>
          </cell>
          <cell r="R215">
            <v>1.1199953840399997</v>
          </cell>
        </row>
        <row r="216">
          <cell r="A216">
            <v>8313</v>
          </cell>
          <cell r="B216" t="str">
            <v>WATER SEPARATION FACILITY</v>
          </cell>
          <cell r="C216" t="str">
            <v>KG</v>
          </cell>
          <cell r="D216" t="str">
            <v>S</v>
          </cell>
          <cell r="F216">
            <v>1.0209999999999999</v>
          </cell>
          <cell r="G216">
            <v>1.0269999999999999</v>
          </cell>
          <cell r="P216">
            <v>1.032</v>
          </cell>
          <cell r="Q216">
            <v>1.0349999999999999</v>
          </cell>
          <cell r="R216">
            <v>1.1199953840399997</v>
          </cell>
        </row>
        <row r="217">
          <cell r="A217">
            <v>8314</v>
          </cell>
          <cell r="B217" t="str">
            <v>SEPTIC TANK AND DRAIN FIELD</v>
          </cell>
          <cell r="C217" t="str">
            <v>GA</v>
          </cell>
          <cell r="D217" t="str">
            <v>S</v>
          </cell>
          <cell r="F217">
            <v>1.0209999999999999</v>
          </cell>
          <cell r="P217">
            <v>1.032</v>
          </cell>
          <cell r="Q217">
            <v>1.0349999999999999</v>
          </cell>
          <cell r="R217">
            <v>1.0905505199999999</v>
          </cell>
        </row>
        <row r="218">
          <cell r="A218">
            <v>8315</v>
          </cell>
          <cell r="B218" t="str">
            <v>SEPTIC LAGOON AND SETTLEMENT PONDS</v>
          </cell>
          <cell r="C218" t="str">
            <v>GA</v>
          </cell>
          <cell r="D218" t="str">
            <v>S</v>
          </cell>
          <cell r="F218">
            <v>1.0209999999999999</v>
          </cell>
          <cell r="P218">
            <v>1.032</v>
          </cell>
          <cell r="Q218">
            <v>1.0349999999999999</v>
          </cell>
          <cell r="R218">
            <v>1.0905505199999999</v>
          </cell>
        </row>
        <row r="219">
          <cell r="A219">
            <v>8321</v>
          </cell>
          <cell r="B219" t="str">
            <v>SEWER AND INDUSTRIAL WASTE LINE</v>
          </cell>
          <cell r="C219" t="str">
            <v>LF</v>
          </cell>
          <cell r="D219" t="str">
            <v>LS</v>
          </cell>
          <cell r="F219">
            <v>1.0209999999999999</v>
          </cell>
          <cell r="P219">
            <v>1.032</v>
          </cell>
          <cell r="Q219">
            <v>1.0349999999999999</v>
          </cell>
          <cell r="R219">
            <v>1.0905505199999999</v>
          </cell>
        </row>
        <row r="220">
          <cell r="A220">
            <v>8331</v>
          </cell>
          <cell r="B220" t="str">
            <v>REFUSE COLLECTION AND RECYCLING FACILITY</v>
          </cell>
          <cell r="C220" t="str">
            <v>EA</v>
          </cell>
          <cell r="D220" t="str">
            <v>S</v>
          </cell>
          <cell r="F220">
            <v>1.0209999999999999</v>
          </cell>
          <cell r="G220">
            <v>1.0269999999999999</v>
          </cell>
          <cell r="R220">
            <v>1.0485669999999998</v>
          </cell>
        </row>
        <row r="221">
          <cell r="A221">
            <v>8332</v>
          </cell>
          <cell r="B221" t="str">
            <v>INCINERATOR</v>
          </cell>
          <cell r="C221" t="str">
            <v>TH</v>
          </cell>
          <cell r="D221" t="str">
            <v>S</v>
          </cell>
          <cell r="F221">
            <v>1.0209999999999999</v>
          </cell>
          <cell r="G221">
            <v>1.0269999999999999</v>
          </cell>
          <cell r="P221">
            <v>1.032</v>
          </cell>
          <cell r="Q221">
            <v>1.0349999999999999</v>
          </cell>
          <cell r="R221">
            <v>1.1199953840399997</v>
          </cell>
        </row>
        <row r="222">
          <cell r="A222">
            <v>8333</v>
          </cell>
          <cell r="B222" t="str">
            <v>SANITARY LANDFILL</v>
          </cell>
          <cell r="C222" t="str">
            <v>AC</v>
          </cell>
          <cell r="D222" t="str">
            <v>S</v>
          </cell>
          <cell r="F222">
            <v>1.0209999999999999</v>
          </cell>
          <cell r="G222">
            <v>1.0269999999999999</v>
          </cell>
          <cell r="P222">
            <v>1.032</v>
          </cell>
          <cell r="Q222">
            <v>1.0349999999999999</v>
          </cell>
          <cell r="R222">
            <v>1.1199953840399997</v>
          </cell>
        </row>
        <row r="223">
          <cell r="A223">
            <v>8334</v>
          </cell>
          <cell r="B223" t="str">
            <v>HAZARDOUS WASTE LANDFILL</v>
          </cell>
          <cell r="C223" t="str">
            <v>AC</v>
          </cell>
          <cell r="D223" t="str">
            <v>S</v>
          </cell>
          <cell r="F223">
            <v>1.0209999999999999</v>
          </cell>
          <cell r="G223">
            <v>1.0269999999999999</v>
          </cell>
          <cell r="P223">
            <v>1.032</v>
          </cell>
          <cell r="Q223">
            <v>1.0349999999999999</v>
          </cell>
          <cell r="R223">
            <v>1.1199953840399997</v>
          </cell>
        </row>
        <row r="224">
          <cell r="A224">
            <v>8412</v>
          </cell>
          <cell r="B224" t="str">
            <v>WATER TREATMENT FACILITY</v>
          </cell>
          <cell r="C224" t="str">
            <v>KG</v>
          </cell>
          <cell r="D224" t="str">
            <v>S</v>
          </cell>
          <cell r="F224">
            <v>1.0209999999999999</v>
          </cell>
          <cell r="G224">
            <v>1.0269999999999999</v>
          </cell>
          <cell r="P224">
            <v>1.032</v>
          </cell>
          <cell r="Q224">
            <v>1.0349999999999999</v>
          </cell>
          <cell r="R224">
            <v>1.1199953840399997</v>
          </cell>
        </row>
        <row r="225">
          <cell r="A225">
            <v>8413</v>
          </cell>
          <cell r="B225" t="str">
            <v>WATER STORAGE, POTABLE</v>
          </cell>
          <cell r="C225" t="str">
            <v>GA</v>
          </cell>
          <cell r="D225" t="str">
            <v>S</v>
          </cell>
          <cell r="F225">
            <v>1.0209999999999999</v>
          </cell>
          <cell r="P225">
            <v>1.032</v>
          </cell>
          <cell r="Q225">
            <v>1.0349999999999999</v>
          </cell>
          <cell r="R225">
            <v>1.0905505199999999</v>
          </cell>
        </row>
        <row r="226">
          <cell r="A226">
            <v>8414</v>
          </cell>
          <cell r="B226" t="str">
            <v>WATER WELL, POTABLE</v>
          </cell>
          <cell r="C226" t="str">
            <v>KG</v>
          </cell>
          <cell r="D226" t="str">
            <v>S</v>
          </cell>
          <cell r="F226">
            <v>1.0209999999999999</v>
          </cell>
          <cell r="R226">
            <v>1.0209999999999999</v>
          </cell>
        </row>
        <row r="227">
          <cell r="A227">
            <v>8415</v>
          </cell>
          <cell r="B227" t="str">
            <v>DESALINIZATION PLANT</v>
          </cell>
          <cell r="C227" t="str">
            <v>KG</v>
          </cell>
          <cell r="D227" t="str">
            <v>S</v>
          </cell>
          <cell r="F227">
            <v>1.0209999999999999</v>
          </cell>
          <cell r="G227">
            <v>1.0269999999999999</v>
          </cell>
          <cell r="P227">
            <v>1.032</v>
          </cell>
          <cell r="Q227">
            <v>1.0349999999999999</v>
          </cell>
          <cell r="R227">
            <v>1.1199953840399997</v>
          </cell>
        </row>
        <row r="228">
          <cell r="A228">
            <v>8421</v>
          </cell>
          <cell r="B228" t="str">
            <v>WATER DISTRIBUTION LINE, POTABLE</v>
          </cell>
          <cell r="C228" t="str">
            <v>LF</v>
          </cell>
          <cell r="D228" t="str">
            <v>LS</v>
          </cell>
          <cell r="F228">
            <v>1.0209999999999999</v>
          </cell>
          <cell r="P228">
            <v>1.032</v>
          </cell>
          <cell r="Q228">
            <v>1.0349999999999999</v>
          </cell>
          <cell r="R228">
            <v>1.0905505199999999</v>
          </cell>
        </row>
        <row r="229">
          <cell r="A229">
            <v>8432</v>
          </cell>
          <cell r="B229" t="str">
            <v>WATER DISTRIBUTION LINE, FIRE PROTECTION</v>
          </cell>
          <cell r="C229" t="str">
            <v>LF</v>
          </cell>
          <cell r="D229" t="str">
            <v>LS</v>
          </cell>
          <cell r="F229">
            <v>1.0209999999999999</v>
          </cell>
          <cell r="P229">
            <v>1.032</v>
          </cell>
          <cell r="Q229">
            <v>1.0349999999999999</v>
          </cell>
          <cell r="R229">
            <v>1.0905505199999999</v>
          </cell>
        </row>
        <row r="230">
          <cell r="A230">
            <v>8441</v>
          </cell>
          <cell r="B230" t="str">
            <v>WATER SOURCE, NON-POTABLE</v>
          </cell>
          <cell r="C230" t="str">
            <v>KG</v>
          </cell>
          <cell r="D230" t="str">
            <v>S</v>
          </cell>
          <cell r="F230">
            <v>1.0209999999999999</v>
          </cell>
          <cell r="P230">
            <v>1.032</v>
          </cell>
          <cell r="Q230">
            <v>1.0349999999999999</v>
          </cell>
          <cell r="R230">
            <v>1.0905505199999999</v>
          </cell>
        </row>
        <row r="231">
          <cell r="A231">
            <v>8442</v>
          </cell>
          <cell r="B231" t="str">
            <v>WATER STORAGE, NON-POTABLE</v>
          </cell>
          <cell r="C231" t="str">
            <v>GA</v>
          </cell>
          <cell r="D231" t="str">
            <v>S</v>
          </cell>
          <cell r="F231">
            <v>1.0209999999999999</v>
          </cell>
          <cell r="P231">
            <v>1.032</v>
          </cell>
          <cell r="Q231">
            <v>1.0349999999999999</v>
          </cell>
          <cell r="R231">
            <v>1.0905505199999999</v>
          </cell>
        </row>
        <row r="232">
          <cell r="A232">
            <v>8511</v>
          </cell>
          <cell r="B232" t="str">
            <v>ROAD, SURFACED</v>
          </cell>
          <cell r="C232" t="str">
            <v>SY</v>
          </cell>
          <cell r="D232" t="str">
            <v>LS</v>
          </cell>
          <cell r="F232">
            <v>1.0209999999999999</v>
          </cell>
          <cell r="G232">
            <v>1.0269999999999999</v>
          </cell>
          <cell r="P232">
            <v>1.032</v>
          </cell>
          <cell r="Q232">
            <v>1.0349999999999999</v>
          </cell>
          <cell r="R232">
            <v>1.1199953840399997</v>
          </cell>
        </row>
        <row r="233">
          <cell r="A233">
            <v>8513</v>
          </cell>
          <cell r="B233" t="str">
            <v>VEHICLE BRIDGE</v>
          </cell>
          <cell r="C233" t="str">
            <v>SY</v>
          </cell>
          <cell r="D233" t="str">
            <v>S</v>
          </cell>
          <cell r="F233">
            <v>1.0209999999999999</v>
          </cell>
          <cell r="G233">
            <v>1.0269999999999999</v>
          </cell>
          <cell r="P233">
            <v>1.032</v>
          </cell>
          <cell r="Q233">
            <v>1.0349999999999999</v>
          </cell>
          <cell r="R233">
            <v>1.1199953840399997</v>
          </cell>
        </row>
        <row r="234">
          <cell r="A234">
            <v>8514</v>
          </cell>
          <cell r="B234" t="str">
            <v>VEHICULAR TUNNEL</v>
          </cell>
          <cell r="C234" t="str">
            <v>LF</v>
          </cell>
          <cell r="D234" t="str">
            <v>LS</v>
          </cell>
          <cell r="F234">
            <v>1.0209999999999999</v>
          </cell>
          <cell r="G234">
            <v>1.0269999999999999</v>
          </cell>
          <cell r="P234">
            <v>1.032</v>
          </cell>
          <cell r="Q234">
            <v>1.0349999999999999</v>
          </cell>
          <cell r="R234">
            <v>1.1199953840399997</v>
          </cell>
        </row>
        <row r="235">
          <cell r="A235">
            <v>8521</v>
          </cell>
          <cell r="B235" t="str">
            <v>VEHICLE PARKING, SURFACED</v>
          </cell>
          <cell r="C235" t="str">
            <v>SY</v>
          </cell>
          <cell r="D235" t="str">
            <v>LS</v>
          </cell>
          <cell r="F235">
            <v>1.0209999999999999</v>
          </cell>
          <cell r="G235">
            <v>1.0269999999999999</v>
          </cell>
          <cell r="P235">
            <v>1.032</v>
          </cell>
          <cell r="Q235">
            <v>1.0349999999999999</v>
          </cell>
          <cell r="R235">
            <v>1.1199953840399997</v>
          </cell>
        </row>
        <row r="236">
          <cell r="A236">
            <v>8522</v>
          </cell>
          <cell r="B236" t="str">
            <v>VEHICLE PARKING AND STAGING AREA, UNSURFACED</v>
          </cell>
          <cell r="C236" t="str">
            <v>SY</v>
          </cell>
          <cell r="D236" t="str">
            <v>LS</v>
          </cell>
          <cell r="F236">
            <v>1.0209999999999999</v>
          </cell>
          <cell r="R236">
            <v>1.0209999999999999</v>
          </cell>
        </row>
        <row r="237">
          <cell r="A237">
            <v>8523</v>
          </cell>
          <cell r="B237" t="str">
            <v>VEHICLE STAGING AREA, SURFACED</v>
          </cell>
          <cell r="C237" t="str">
            <v>SY</v>
          </cell>
          <cell r="D237" t="str">
            <v>LS</v>
          </cell>
          <cell r="F237">
            <v>1.0209999999999999</v>
          </cell>
          <cell r="G237">
            <v>1.0269999999999999</v>
          </cell>
          <cell r="P237">
            <v>1.032</v>
          </cell>
          <cell r="Q237">
            <v>1.0349999999999999</v>
          </cell>
          <cell r="R237">
            <v>1.1199953840399997</v>
          </cell>
        </row>
        <row r="238">
          <cell r="A238">
            <v>8524</v>
          </cell>
          <cell r="B238" t="str">
            <v>SIDEWALK AND WALKWAY</v>
          </cell>
          <cell r="C238" t="str">
            <v>SY</v>
          </cell>
          <cell r="D238" t="str">
            <v>S</v>
          </cell>
          <cell r="F238">
            <v>1.0209999999999999</v>
          </cell>
          <cell r="R238">
            <v>1.0209999999999999</v>
          </cell>
        </row>
        <row r="239">
          <cell r="A239">
            <v>8525</v>
          </cell>
          <cell r="B239" t="str">
            <v>PEDESTRIAN BRIDGE</v>
          </cell>
          <cell r="C239" t="str">
            <v>SY</v>
          </cell>
          <cell r="D239" t="str">
            <v>S</v>
          </cell>
          <cell r="F239">
            <v>1.0209999999999999</v>
          </cell>
          <cell r="P239">
            <v>1.032</v>
          </cell>
          <cell r="Q239">
            <v>1.0349999999999999</v>
          </cell>
          <cell r="R239">
            <v>1.0905505199999999</v>
          </cell>
        </row>
        <row r="240">
          <cell r="A240">
            <v>8526</v>
          </cell>
          <cell r="B240" t="str">
            <v>MISCELLANEOUS PAVED AREA</v>
          </cell>
          <cell r="C240" t="str">
            <v>SY</v>
          </cell>
          <cell r="D240" t="str">
            <v>LS</v>
          </cell>
          <cell r="F240">
            <v>1.0209999999999999</v>
          </cell>
          <cell r="P240">
            <v>1.032</v>
          </cell>
          <cell r="Q240">
            <v>1.0349999999999999</v>
          </cell>
          <cell r="R240">
            <v>1.0905505199999999</v>
          </cell>
        </row>
        <row r="241">
          <cell r="A241">
            <v>8541</v>
          </cell>
          <cell r="B241" t="str">
            <v>TRAFFIC CONTROL SIGNALS</v>
          </cell>
          <cell r="C241" t="str">
            <v>EA</v>
          </cell>
          <cell r="D241" t="str">
            <v>S</v>
          </cell>
          <cell r="F241">
            <v>1.0209999999999999</v>
          </cell>
          <cell r="P241">
            <v>1.032</v>
          </cell>
          <cell r="Q241">
            <v>1.0349999999999999</v>
          </cell>
          <cell r="R241">
            <v>1.0905505199999999</v>
          </cell>
        </row>
        <row r="242">
          <cell r="A242">
            <v>8601</v>
          </cell>
          <cell r="B242" t="str">
            <v>RAILROAD TRACK</v>
          </cell>
          <cell r="C242" t="str">
            <v>MI</v>
          </cell>
          <cell r="D242" t="str">
            <v>LS</v>
          </cell>
          <cell r="F242">
            <v>1.0209999999999999</v>
          </cell>
          <cell r="G242">
            <v>1.0269999999999999</v>
          </cell>
          <cell r="P242">
            <v>1.032</v>
          </cell>
          <cell r="Q242">
            <v>1.0349999999999999</v>
          </cell>
          <cell r="R242">
            <v>1.1199953840399997</v>
          </cell>
        </row>
        <row r="243">
          <cell r="A243">
            <v>8611</v>
          </cell>
          <cell r="B243" t="str">
            <v>RAILROAD BRIDGE</v>
          </cell>
          <cell r="C243" t="str">
            <v>LF</v>
          </cell>
          <cell r="D243" t="str">
            <v>S</v>
          </cell>
          <cell r="F243">
            <v>1.0209999999999999</v>
          </cell>
          <cell r="G243">
            <v>1.0269999999999999</v>
          </cell>
          <cell r="P243">
            <v>1.032</v>
          </cell>
          <cell r="Q243">
            <v>1.0349999999999999</v>
          </cell>
          <cell r="R243">
            <v>1.1199953840399997</v>
          </cell>
        </row>
        <row r="244">
          <cell r="A244">
            <v>8612</v>
          </cell>
          <cell r="B244" t="str">
            <v>MISCELLANEOUS RAILROAD FACILITY</v>
          </cell>
          <cell r="C244" t="str">
            <v>EA</v>
          </cell>
          <cell r="D244" t="str">
            <v>S</v>
          </cell>
          <cell r="F244">
            <v>1.0209999999999999</v>
          </cell>
          <cell r="P244">
            <v>1.032</v>
          </cell>
          <cell r="Q244">
            <v>1.0349999999999999</v>
          </cell>
          <cell r="R244">
            <v>1.0905505199999999</v>
          </cell>
        </row>
        <row r="245">
          <cell r="A245">
            <v>8711</v>
          </cell>
          <cell r="B245" t="str">
            <v>STORM DRAINAGE</v>
          </cell>
          <cell r="C245" t="str">
            <v>LF</v>
          </cell>
          <cell r="D245" t="str">
            <v>LS</v>
          </cell>
          <cell r="F245">
            <v>1.0209999999999999</v>
          </cell>
          <cell r="P245">
            <v>1.032</v>
          </cell>
          <cell r="Q245">
            <v>1.0349999999999999</v>
          </cell>
          <cell r="R245">
            <v>1.0905505199999999</v>
          </cell>
        </row>
        <row r="246">
          <cell r="A246">
            <v>8712</v>
          </cell>
          <cell r="B246" t="str">
            <v>RETAINING STRUCTURE</v>
          </cell>
          <cell r="C246" t="str">
            <v>LF</v>
          </cell>
          <cell r="D246" t="str">
            <v>S</v>
          </cell>
          <cell r="F246">
            <v>1.0209999999999999</v>
          </cell>
          <cell r="R246">
            <v>1.0209999999999999</v>
          </cell>
        </row>
        <row r="247">
          <cell r="A247">
            <v>8714</v>
          </cell>
          <cell r="B247" t="str">
            <v>LEVEES AND DIKES FOR GROUNDS DRAINAGE</v>
          </cell>
          <cell r="C247" t="str">
            <v>LF</v>
          </cell>
          <cell r="D247" t="str">
            <v>S</v>
          </cell>
          <cell r="F247">
            <v>1.0209999999999999</v>
          </cell>
          <cell r="R247">
            <v>1.0209999999999999</v>
          </cell>
        </row>
        <row r="248">
          <cell r="A248">
            <v>8721</v>
          </cell>
          <cell r="B248" t="str">
            <v>BOUNDARY FENCE AND WALL</v>
          </cell>
          <cell r="C248" t="str">
            <v>LF</v>
          </cell>
          <cell r="D248" t="str">
            <v>LS</v>
          </cell>
          <cell r="F248">
            <v>1.0209999999999999</v>
          </cell>
          <cell r="P248">
            <v>1.032</v>
          </cell>
          <cell r="Q248">
            <v>1.0349999999999999</v>
          </cell>
          <cell r="R248">
            <v>1.0905505199999999</v>
          </cell>
        </row>
        <row r="249">
          <cell r="A249">
            <v>8722</v>
          </cell>
          <cell r="B249" t="str">
            <v>SECURITY FENCE</v>
          </cell>
          <cell r="C249" t="str">
            <v>LF</v>
          </cell>
          <cell r="D249" t="str">
            <v>LS</v>
          </cell>
          <cell r="F249">
            <v>1.0209999999999999</v>
          </cell>
          <cell r="P249">
            <v>1.032</v>
          </cell>
          <cell r="Q249">
            <v>1.0349999999999999</v>
          </cell>
          <cell r="R249">
            <v>1.0905505199999999</v>
          </cell>
        </row>
        <row r="250">
          <cell r="A250">
            <v>8813</v>
          </cell>
          <cell r="B250" t="str">
            <v>NAVIGATION REVETMENTS</v>
          </cell>
          <cell r="C250" t="str">
            <v>LF</v>
          </cell>
          <cell r="D250" t="str">
            <v>LS</v>
          </cell>
          <cell r="F250">
            <v>1.0209999999999999</v>
          </cell>
          <cell r="P250">
            <v>1.032</v>
          </cell>
          <cell r="Q250">
            <v>1.0349999999999999</v>
          </cell>
          <cell r="R250">
            <v>1.0905505199999999</v>
          </cell>
        </row>
        <row r="251">
          <cell r="A251">
            <v>8910</v>
          </cell>
          <cell r="B251" t="str">
            <v>UTILITY BUILDING</v>
          </cell>
          <cell r="C251" t="str">
            <v>SF</v>
          </cell>
          <cell r="D251" t="str">
            <v>B</v>
          </cell>
          <cell r="F251">
            <v>1.0209999999999999</v>
          </cell>
          <cell r="G251">
            <v>1.0269999999999999</v>
          </cell>
          <cell r="H251">
            <v>1.0029999999999999</v>
          </cell>
          <cell r="J251">
            <v>1.0049999999999999</v>
          </cell>
          <cell r="N251">
            <v>1.0029999999999999</v>
          </cell>
          <cell r="P251">
            <v>1.032</v>
          </cell>
          <cell r="Q251">
            <v>1.0349999999999999</v>
          </cell>
          <cell r="R251">
            <v>1.1323590634842093</v>
          </cell>
        </row>
        <row r="252">
          <cell r="A252">
            <v>8921</v>
          </cell>
          <cell r="B252" t="str">
            <v>INSTALLATION GAS PRODUCTION PLANT</v>
          </cell>
          <cell r="C252" t="str">
            <v>EA</v>
          </cell>
          <cell r="D252" t="str">
            <v>S</v>
          </cell>
          <cell r="F252">
            <v>1.0209999999999999</v>
          </cell>
          <cell r="G252">
            <v>1.0269999999999999</v>
          </cell>
          <cell r="P252">
            <v>1.032</v>
          </cell>
          <cell r="Q252">
            <v>1.0349999999999999</v>
          </cell>
          <cell r="R252">
            <v>1.1199953840399997</v>
          </cell>
        </row>
        <row r="253">
          <cell r="A253">
            <v>8922</v>
          </cell>
          <cell r="B253" t="str">
            <v>INSTALLATION GAS STORAGE</v>
          </cell>
          <cell r="C253" t="str">
            <v>EA</v>
          </cell>
          <cell r="D253" t="str">
            <v>S</v>
          </cell>
          <cell r="F253">
            <v>1.0209999999999999</v>
          </cell>
          <cell r="R253">
            <v>1.0209999999999999</v>
          </cell>
        </row>
        <row r="254">
          <cell r="A254">
            <v>8923</v>
          </cell>
          <cell r="B254" t="str">
            <v>VEHICLE SCALES</v>
          </cell>
          <cell r="C254" t="str">
            <v>EA</v>
          </cell>
          <cell r="D254" t="str">
            <v>S</v>
          </cell>
          <cell r="F254">
            <v>1.0209999999999999</v>
          </cell>
          <cell r="N254">
            <v>1.0029999999999999</v>
          </cell>
          <cell r="R254">
            <v>1.0240629999999997</v>
          </cell>
        </row>
        <row r="255">
          <cell r="A255">
            <v>8924</v>
          </cell>
          <cell r="B255" t="str">
            <v>MISCELLANEOUS PUMP STATION</v>
          </cell>
          <cell r="C255" t="str">
            <v>EA</v>
          </cell>
          <cell r="D255" t="str">
            <v>S</v>
          </cell>
          <cell r="F255">
            <v>1.0209999999999999</v>
          </cell>
          <cell r="N255">
            <v>1.0029999999999999</v>
          </cell>
          <cell r="R255">
            <v>1.0240629999999997</v>
          </cell>
        </row>
        <row r="256">
          <cell r="A256">
            <v>8926</v>
          </cell>
          <cell r="B256" t="str">
            <v>HAZARDOUS WASTE STORAGE OR DISPOSAL FACILITY</v>
          </cell>
          <cell r="C256" t="str">
            <v>EA</v>
          </cell>
          <cell r="D256" t="str">
            <v>S</v>
          </cell>
          <cell r="F256">
            <v>1.0209999999999999</v>
          </cell>
          <cell r="G256">
            <v>1.0269999999999999</v>
          </cell>
          <cell r="N256">
            <v>1.0029999999999999</v>
          </cell>
          <cell r="R256">
            <v>1.0517127009999996</v>
          </cell>
        </row>
        <row r="257">
          <cell r="A257">
            <v>8927</v>
          </cell>
          <cell r="B257" t="str">
            <v>UTILITY VAULTS</v>
          </cell>
          <cell r="C257" t="str">
            <v>EA</v>
          </cell>
          <cell r="D257" t="str">
            <v>S</v>
          </cell>
          <cell r="F257">
            <v>1.0209999999999999</v>
          </cell>
          <cell r="R257">
            <v>1.0209999999999999</v>
          </cell>
        </row>
        <row r="258">
          <cell r="A258">
            <v>8928</v>
          </cell>
          <cell r="B258" t="str">
            <v>LOADING PLATFORM/RAMP</v>
          </cell>
          <cell r="C258" t="str">
            <v>EA</v>
          </cell>
          <cell r="D258" t="str">
            <v>S</v>
          </cell>
          <cell r="F258">
            <v>1.0209999999999999</v>
          </cell>
          <cell r="R258">
            <v>1.0209999999999999</v>
          </cell>
        </row>
        <row r="259">
          <cell r="A259">
            <v>8929</v>
          </cell>
          <cell r="B259" t="str">
            <v>MISCELLANEOUS UTILITY FACILITY</v>
          </cell>
          <cell r="C259" t="str">
            <v>EA</v>
          </cell>
          <cell r="D259" t="str">
            <v>S</v>
          </cell>
          <cell r="F259">
            <v>1.0209999999999999</v>
          </cell>
          <cell r="R259">
            <v>1.0209999999999999</v>
          </cell>
        </row>
        <row r="260">
          <cell r="A260">
            <v>8930</v>
          </cell>
          <cell r="B260" t="str">
            <v>INSTALLATION GAS DISTRIBUTION LINE</v>
          </cell>
          <cell r="C260" t="str">
            <v>LF</v>
          </cell>
          <cell r="D260" t="str">
            <v>LS</v>
          </cell>
          <cell r="F260">
            <v>1.0209999999999999</v>
          </cell>
          <cell r="P260">
            <v>1.032</v>
          </cell>
          <cell r="Q260">
            <v>1.0349999999999999</v>
          </cell>
          <cell r="R260">
            <v>1.0905505199999999</v>
          </cell>
        </row>
        <row r="261">
          <cell r="A261">
            <v>8931</v>
          </cell>
          <cell r="B261" t="str">
            <v>UTILITY TUNNEL</v>
          </cell>
          <cell r="C261" t="str">
            <v>LF</v>
          </cell>
          <cell r="D261" t="str">
            <v>LS</v>
          </cell>
          <cell r="F261">
            <v>1.0209999999999999</v>
          </cell>
          <cell r="P261">
            <v>1.032</v>
          </cell>
          <cell r="Q261">
            <v>1.0349999999999999</v>
          </cell>
          <cell r="R261">
            <v>1.0905505199999999</v>
          </cell>
        </row>
        <row r="262">
          <cell r="A262">
            <v>8932</v>
          </cell>
          <cell r="B262" t="str">
            <v>UTILIITY CHANNEL</v>
          </cell>
          <cell r="C262" t="str">
            <v>LF</v>
          </cell>
          <cell r="D262" t="str">
            <v>LS</v>
          </cell>
          <cell r="F262">
            <v>1.0209999999999999</v>
          </cell>
          <cell r="P262">
            <v>1.032</v>
          </cell>
          <cell r="Q262">
            <v>1.0349999999999999</v>
          </cell>
          <cell r="R262">
            <v>1.0905505199999999</v>
          </cell>
        </row>
        <row r="263">
          <cell r="A263">
            <v>8951</v>
          </cell>
          <cell r="B263" t="str">
            <v>MISCELLANEOUS STORAGE TANK AND BASIN</v>
          </cell>
          <cell r="C263" t="str">
            <v>GA</v>
          </cell>
          <cell r="D263" t="str">
            <v>S</v>
          </cell>
          <cell r="F263">
            <v>1.0209999999999999</v>
          </cell>
          <cell r="R263">
            <v>1.0209999999999999</v>
          </cell>
        </row>
      </sheetData>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vators"/>
      <sheetName val="IBC Pers per Occ"/>
      <sheetName val="Sheet3"/>
    </sheetNames>
    <sheetDataSet>
      <sheetData sheetId="0" refreshError="1"/>
      <sheetData sheetId="1" refreshError="1">
        <row r="2">
          <cell r="A2" t="str">
            <v>A</v>
          </cell>
          <cell r="B2">
            <v>15</v>
          </cell>
        </row>
        <row r="3">
          <cell r="A3" t="str">
            <v>B</v>
          </cell>
          <cell r="B3">
            <v>100</v>
          </cell>
        </row>
        <row r="4">
          <cell r="A4" t="str">
            <v>E</v>
          </cell>
          <cell r="B4">
            <v>20</v>
          </cell>
        </row>
        <row r="5">
          <cell r="A5" t="str">
            <v>F</v>
          </cell>
          <cell r="B5">
            <v>100</v>
          </cell>
        </row>
        <row r="6">
          <cell r="A6" t="str">
            <v>I</v>
          </cell>
          <cell r="B6">
            <v>120</v>
          </cell>
        </row>
        <row r="7">
          <cell r="A7" t="str">
            <v>M</v>
          </cell>
          <cell r="B7">
            <v>60</v>
          </cell>
        </row>
        <row r="8">
          <cell r="A8" t="str">
            <v>R</v>
          </cell>
          <cell r="B8">
            <v>200</v>
          </cell>
        </row>
        <row r="9">
          <cell r="A9" t="str">
            <v>W</v>
          </cell>
          <cell r="B9">
            <v>500</v>
          </cell>
        </row>
      </sheetData>
      <sheetData sheetId="2" refreshError="1">
        <row r="3">
          <cell r="A3">
            <v>1311</v>
          </cell>
          <cell r="B3" t="str">
            <v>Communications Building</v>
          </cell>
          <cell r="C3" t="str">
            <v>SF</v>
          </cell>
          <cell r="D3" t="str">
            <v>B</v>
          </cell>
          <cell r="E3">
            <v>4495.7256852159471</v>
          </cell>
          <cell r="F3">
            <v>25266.392065669159</v>
          </cell>
          <cell r="G3">
            <v>1.3488372093023255</v>
          </cell>
        </row>
        <row r="4">
          <cell r="A4">
            <v>1312</v>
          </cell>
          <cell r="B4" t="str">
            <v>Satellite Communications Building</v>
          </cell>
          <cell r="C4" t="str">
            <v>SF</v>
          </cell>
          <cell r="D4" t="str">
            <v>B</v>
          </cell>
          <cell r="E4">
            <v>4059.87</v>
          </cell>
          <cell r="F4">
            <v>8318.1672972972974</v>
          </cell>
          <cell r="G4">
            <v>1.072072072072072</v>
          </cell>
        </row>
        <row r="5">
          <cell r="A5">
            <v>1331</v>
          </cell>
          <cell r="B5" t="str">
            <v>Aircraft Navigation Building</v>
          </cell>
          <cell r="C5" t="str">
            <v>SF</v>
          </cell>
          <cell r="D5" t="str">
            <v>B</v>
          </cell>
          <cell r="E5">
            <v>2407.307294117647</v>
          </cell>
          <cell r="F5">
            <v>4889.9869411764703</v>
          </cell>
          <cell r="G5">
            <v>0.95798319327731096</v>
          </cell>
        </row>
        <row r="6">
          <cell r="A6">
            <v>1371</v>
          </cell>
          <cell r="B6" t="str">
            <v>Ship Navigation Building</v>
          </cell>
          <cell r="C6" t="str">
            <v>SF</v>
          </cell>
          <cell r="D6" t="str">
            <v>B</v>
          </cell>
          <cell r="E6">
            <v>10325.35</v>
          </cell>
          <cell r="F6">
            <v>13392.05</v>
          </cell>
          <cell r="G6">
            <v>2.0499999999999998</v>
          </cell>
        </row>
        <row r="7">
          <cell r="A7">
            <v>1402</v>
          </cell>
          <cell r="B7" t="str">
            <v>Air Defense Operations Building</v>
          </cell>
          <cell r="C7" t="str">
            <v>SF</v>
          </cell>
          <cell r="D7" t="str">
            <v>B</v>
          </cell>
          <cell r="E7">
            <v>9684.9285714285706</v>
          </cell>
          <cell r="F7">
            <v>15601.690476190477</v>
          </cell>
          <cell r="G7">
            <v>1.8809523809523809</v>
          </cell>
        </row>
        <row r="8">
          <cell r="A8">
            <v>1403</v>
          </cell>
          <cell r="B8" t="str">
            <v>Missile Operations Building</v>
          </cell>
          <cell r="C8" t="str">
            <v>SF</v>
          </cell>
          <cell r="D8" t="str">
            <v>B</v>
          </cell>
          <cell r="E8">
            <v>4774.2444444444436</v>
          </cell>
          <cell r="F8">
            <v>5411.3777777777777</v>
          </cell>
          <cell r="G8">
            <v>0.93333333333333335</v>
          </cell>
        </row>
        <row r="9">
          <cell r="A9">
            <v>1404</v>
          </cell>
          <cell r="B9" t="str">
            <v>Emergency Operations Center / SCIF</v>
          </cell>
          <cell r="C9" t="str">
            <v>SF</v>
          </cell>
          <cell r="D9" t="str">
            <v>B</v>
          </cell>
          <cell r="E9">
            <v>12248.92020715631</v>
          </cell>
          <cell r="F9">
            <v>127944.58792843691</v>
          </cell>
          <cell r="G9">
            <v>2.0546139359698681</v>
          </cell>
        </row>
        <row r="10">
          <cell r="A10">
            <v>1411</v>
          </cell>
          <cell r="B10" t="str">
            <v>Airfield Fire And Rescue Station</v>
          </cell>
          <cell r="C10" t="str">
            <v>SF</v>
          </cell>
          <cell r="D10" t="str">
            <v>B</v>
          </cell>
          <cell r="E10">
            <v>8976.5662499999999</v>
          </cell>
          <cell r="F10">
            <v>10928.128375</v>
          </cell>
          <cell r="G10">
            <v>1.328125</v>
          </cell>
        </row>
        <row r="11">
          <cell r="A11">
            <v>1412</v>
          </cell>
          <cell r="B11" t="str">
            <v>Aviation Operations Building</v>
          </cell>
          <cell r="C11" t="str">
            <v>SF</v>
          </cell>
          <cell r="D11" t="str">
            <v>B</v>
          </cell>
          <cell r="E11">
            <v>9871.0742530120478</v>
          </cell>
          <cell r="F11">
            <v>30491.0804562249</v>
          </cell>
          <cell r="G11">
            <v>1.3857888398233642</v>
          </cell>
        </row>
        <row r="12">
          <cell r="A12">
            <v>1413</v>
          </cell>
          <cell r="B12" t="str">
            <v>Air Control Tower</v>
          </cell>
          <cell r="C12" t="str">
            <v>SF</v>
          </cell>
          <cell r="D12" t="str">
            <v>B</v>
          </cell>
          <cell r="E12">
            <v>3373.5980872483219</v>
          </cell>
          <cell r="F12">
            <v>11752.279429530201</v>
          </cell>
          <cell r="G12">
            <v>4.1543624161073822</v>
          </cell>
        </row>
        <row r="13">
          <cell r="A13">
            <v>1421</v>
          </cell>
          <cell r="B13" t="str">
            <v>Helium Production/Storage Building</v>
          </cell>
          <cell r="C13" t="str">
            <v>SF</v>
          </cell>
          <cell r="D13" t="str">
            <v>B</v>
          </cell>
          <cell r="E13">
            <v>582</v>
          </cell>
          <cell r="F13">
            <v>582</v>
          </cell>
          <cell r="G13">
            <v>1</v>
          </cell>
        </row>
        <row r="14">
          <cell r="A14">
            <v>1431</v>
          </cell>
          <cell r="B14" t="str">
            <v>Ship Operations Building</v>
          </cell>
          <cell r="C14" t="str">
            <v>SF</v>
          </cell>
          <cell r="D14" t="str">
            <v>B</v>
          </cell>
          <cell r="E14">
            <v>10400.36622983871</v>
          </cell>
          <cell r="F14">
            <v>28539.530927419357</v>
          </cell>
          <cell r="G14">
            <v>1.5987903225806452</v>
          </cell>
        </row>
        <row r="15">
          <cell r="A15">
            <v>1441</v>
          </cell>
          <cell r="B15" t="str">
            <v>Photo/TV Production Building</v>
          </cell>
          <cell r="C15" t="str">
            <v>SF</v>
          </cell>
          <cell r="D15" t="str">
            <v>B</v>
          </cell>
          <cell r="E15">
            <v>5246.7666256157627</v>
          </cell>
          <cell r="F15">
            <v>64266.406871921186</v>
          </cell>
          <cell r="G15">
            <v>1.6280788177339902</v>
          </cell>
        </row>
        <row r="16">
          <cell r="A16">
            <v>1442</v>
          </cell>
          <cell r="B16" t="str">
            <v>Operations Support Lab</v>
          </cell>
          <cell r="C16" t="str">
            <v>SF</v>
          </cell>
          <cell r="D16" t="str">
            <v>B</v>
          </cell>
          <cell r="E16">
            <v>8929.0375135135146</v>
          </cell>
          <cell r="F16">
            <v>46195.715891891894</v>
          </cell>
          <cell r="G16">
            <v>1.1405405405405404</v>
          </cell>
        </row>
        <row r="17">
          <cell r="A17">
            <v>1443</v>
          </cell>
          <cell r="B17" t="str">
            <v>Operations Supply Building</v>
          </cell>
          <cell r="C17" t="str">
            <v>SF</v>
          </cell>
          <cell r="D17" t="str">
            <v>B</v>
          </cell>
          <cell r="E17">
            <v>8308.8171457246099</v>
          </cell>
          <cell r="F17">
            <v>22560.380140505822</v>
          </cell>
          <cell r="G17">
            <v>1.1015656362906463</v>
          </cell>
        </row>
        <row r="18">
          <cell r="A18">
            <v>1444</v>
          </cell>
          <cell r="B18" t="str">
            <v>Miscellaneous Operations Support Building</v>
          </cell>
          <cell r="C18" t="str">
            <v>SF</v>
          </cell>
          <cell r="D18" t="str">
            <v>B</v>
          </cell>
          <cell r="E18">
            <v>5130.1767181234954</v>
          </cell>
          <cell r="F18">
            <v>13765.575348977136</v>
          </cell>
          <cell r="G18">
            <v>1.1165262735659847</v>
          </cell>
        </row>
        <row r="19">
          <cell r="A19">
            <v>1445</v>
          </cell>
          <cell r="B19" t="str">
            <v>Working Animal Support Building</v>
          </cell>
          <cell r="C19" t="str">
            <v>SF</v>
          </cell>
          <cell r="D19" t="str">
            <v>B</v>
          </cell>
          <cell r="E19">
            <v>3016.907826086956</v>
          </cell>
          <cell r="F19">
            <v>3587.5321161825723</v>
          </cell>
          <cell r="G19">
            <v>1</v>
          </cell>
        </row>
        <row r="20">
          <cell r="A20">
            <v>1446</v>
          </cell>
          <cell r="B20" t="str">
            <v>Security Force Building</v>
          </cell>
          <cell r="C20" t="str">
            <v>SF</v>
          </cell>
          <cell r="D20" t="str">
            <v>B</v>
          </cell>
          <cell r="E20">
            <v>11956.115483870968</v>
          </cell>
          <cell r="F20">
            <v>15274.817096774193</v>
          </cell>
          <cell r="G20">
            <v>1.4408602150537635</v>
          </cell>
        </row>
        <row r="21">
          <cell r="A21">
            <v>1452</v>
          </cell>
          <cell r="B21" t="str">
            <v>Missile Guidance Facility</v>
          </cell>
          <cell r="C21" t="str">
            <v>SF</v>
          </cell>
          <cell r="D21" t="str">
            <v>B</v>
          </cell>
          <cell r="E21">
            <v>3866.1153846153838</v>
          </cell>
          <cell r="F21">
            <v>7526.2307692307686</v>
          </cell>
          <cell r="G21">
            <v>1.2307692307692308</v>
          </cell>
        </row>
        <row r="22">
          <cell r="A22">
            <v>1457</v>
          </cell>
          <cell r="B22" t="str">
            <v>Ballistic Missile Control Facility</v>
          </cell>
          <cell r="C22" t="str">
            <v>SF</v>
          </cell>
          <cell r="D22" t="str">
            <v>B</v>
          </cell>
          <cell r="E22">
            <v>4835.9699248120296</v>
          </cell>
          <cell r="F22">
            <v>7376.4661654135334</v>
          </cell>
          <cell r="G22">
            <v>0.84962406015037595</v>
          </cell>
        </row>
        <row r="23">
          <cell r="A23">
            <v>1498</v>
          </cell>
          <cell r="B23" t="str">
            <v>Security Support Building</v>
          </cell>
          <cell r="C23" t="str">
            <v>SF</v>
          </cell>
          <cell r="D23" t="str">
            <v>B</v>
          </cell>
          <cell r="E23">
            <v>348.98961139028472</v>
          </cell>
          <cell r="F23">
            <v>1010.3824585218701</v>
          </cell>
          <cell r="G23">
            <v>1.0011727257497067</v>
          </cell>
        </row>
        <row r="24">
          <cell r="A24">
            <v>1552</v>
          </cell>
          <cell r="B24" t="str">
            <v>Small Craft Building</v>
          </cell>
          <cell r="C24" t="str">
            <v>SF</v>
          </cell>
          <cell r="D24" t="str">
            <v>B</v>
          </cell>
          <cell r="E24">
            <v>5073.7798076923073</v>
          </cell>
          <cell r="F24">
            <v>5772.9528846153844</v>
          </cell>
          <cell r="G24">
            <v>1.1153846153846154</v>
          </cell>
        </row>
        <row r="25">
          <cell r="A25">
            <v>1711</v>
          </cell>
          <cell r="B25" t="str">
            <v>General Purpose Instruction Building</v>
          </cell>
          <cell r="C25" t="str">
            <v>SF</v>
          </cell>
          <cell r="D25" t="str">
            <v>B</v>
          </cell>
          <cell r="E25">
            <v>12050.65556232687</v>
          </cell>
          <cell r="F25">
            <v>39155.455377710539</v>
          </cell>
          <cell r="G25">
            <v>1.4316293125157391</v>
          </cell>
        </row>
        <row r="26">
          <cell r="A26">
            <v>1712</v>
          </cell>
          <cell r="B26" t="str">
            <v>Applied Instruction Building</v>
          </cell>
          <cell r="C26" t="str">
            <v>SF</v>
          </cell>
          <cell r="D26" t="str">
            <v>B</v>
          </cell>
          <cell r="E26">
            <v>14469.102026109662</v>
          </cell>
          <cell r="F26">
            <v>42782.893714733545</v>
          </cell>
          <cell r="G26">
            <v>1.4840731070496083</v>
          </cell>
        </row>
        <row r="27">
          <cell r="A27">
            <v>1713</v>
          </cell>
          <cell r="B27" t="str">
            <v>Band Training Facility</v>
          </cell>
          <cell r="C27" t="str">
            <v>SF</v>
          </cell>
          <cell r="D27" t="str">
            <v>B</v>
          </cell>
          <cell r="E27">
            <v>10014.72423076923</v>
          </cell>
          <cell r="F27">
            <v>17013.089615384615</v>
          </cell>
          <cell r="G27">
            <v>1.2788461538461537</v>
          </cell>
        </row>
        <row r="28">
          <cell r="A28">
            <v>1714</v>
          </cell>
          <cell r="B28" t="str">
            <v>Reserve Training Facility</v>
          </cell>
          <cell r="C28" t="str">
            <v>SF</v>
          </cell>
          <cell r="D28" t="str">
            <v>B</v>
          </cell>
          <cell r="E28">
            <v>19180.955860580914</v>
          </cell>
          <cell r="F28">
            <v>33122.733475240944</v>
          </cell>
          <cell r="G28">
            <v>1.4732824427480915</v>
          </cell>
        </row>
        <row r="29">
          <cell r="A29">
            <v>1715</v>
          </cell>
          <cell r="B29" t="str">
            <v>Physical Education Building</v>
          </cell>
          <cell r="C29" t="str">
            <v>SF</v>
          </cell>
          <cell r="D29" t="str">
            <v>B</v>
          </cell>
          <cell r="E29">
            <v>69937.482666666663</v>
          </cell>
          <cell r="F29">
            <v>88738.355555555565</v>
          </cell>
          <cell r="G29">
            <v>2.3555555555555556</v>
          </cell>
        </row>
        <row r="30">
          <cell r="A30">
            <v>1717</v>
          </cell>
          <cell r="B30" t="str">
            <v>Organizational Classroom</v>
          </cell>
          <cell r="C30" t="str">
            <v>SF</v>
          </cell>
          <cell r="D30" t="str">
            <v>B</v>
          </cell>
          <cell r="E30">
            <v>4440.6591803278689</v>
          </cell>
          <cell r="F30">
            <v>29855.794022491351</v>
          </cell>
          <cell r="G30">
            <v>1.4659188955996549</v>
          </cell>
        </row>
        <row r="31">
          <cell r="A31">
            <v>1718</v>
          </cell>
          <cell r="B31" t="str">
            <v>Indoor Firing Range and Supporting Facility</v>
          </cell>
          <cell r="C31" t="str">
            <v>SF</v>
          </cell>
          <cell r="D31" t="str">
            <v>B</v>
          </cell>
          <cell r="E31">
            <v>5335.5356476683937</v>
          </cell>
          <cell r="F31">
            <v>14402.99292746114</v>
          </cell>
          <cell r="G31">
            <v>1.1580310880829014</v>
          </cell>
        </row>
        <row r="32">
          <cell r="A32">
            <v>1721</v>
          </cell>
          <cell r="B32" t="str">
            <v>Flight Simulator Facility</v>
          </cell>
          <cell r="C32" t="str">
            <v>SF</v>
          </cell>
          <cell r="D32" t="str">
            <v>B</v>
          </cell>
          <cell r="E32">
            <v>14850.95886402754</v>
          </cell>
          <cell r="F32">
            <v>40730.464027538721</v>
          </cell>
          <cell r="G32">
            <v>1.5283993115318417</v>
          </cell>
        </row>
        <row r="33">
          <cell r="A33">
            <v>1722</v>
          </cell>
          <cell r="B33" t="str">
            <v>Physiological Training Facility</v>
          </cell>
          <cell r="C33" t="str">
            <v>SF</v>
          </cell>
          <cell r="D33" t="str">
            <v>B</v>
          </cell>
          <cell r="E33">
            <v>9175.636363636364</v>
          </cell>
          <cell r="F33">
            <v>13503.045454545454</v>
          </cell>
          <cell r="G33">
            <v>1.0454545454545454</v>
          </cell>
        </row>
        <row r="34">
          <cell r="A34">
            <v>1723</v>
          </cell>
          <cell r="B34" t="str">
            <v>Gas Training Facility</v>
          </cell>
          <cell r="C34" t="str">
            <v>SF</v>
          </cell>
          <cell r="D34" t="str">
            <v>B</v>
          </cell>
          <cell r="E34">
            <v>821.14436619718299</v>
          </cell>
          <cell r="F34">
            <v>1178.4542253521124</v>
          </cell>
          <cell r="G34">
            <v>1.0070422535211268</v>
          </cell>
        </row>
        <row r="35">
          <cell r="A35">
            <v>1724</v>
          </cell>
          <cell r="B35" t="str">
            <v>General Purpose Simulator Facility</v>
          </cell>
          <cell r="C35" t="str">
            <v>SF</v>
          </cell>
          <cell r="D35" t="str">
            <v>B</v>
          </cell>
          <cell r="E35">
            <v>10502.178301886792</v>
          </cell>
          <cell r="F35">
            <v>18354.521727140782</v>
          </cell>
          <cell r="G35">
            <v>1.1318840579710145</v>
          </cell>
        </row>
        <row r="36">
          <cell r="A36">
            <v>1731</v>
          </cell>
          <cell r="B36" t="str">
            <v>Range Support Building</v>
          </cell>
          <cell r="C36" t="str">
            <v>SF</v>
          </cell>
          <cell r="D36" t="str">
            <v>B</v>
          </cell>
          <cell r="E36">
            <v>1387.4325201316299</v>
          </cell>
          <cell r="F36">
            <v>1639.8384909936083</v>
          </cell>
          <cell r="G36">
            <v>1.0412311265969802</v>
          </cell>
        </row>
        <row r="37">
          <cell r="A37">
            <v>1732</v>
          </cell>
          <cell r="B37" t="str">
            <v>Training Aids Support Building</v>
          </cell>
          <cell r="C37" t="str">
            <v>SF</v>
          </cell>
          <cell r="D37" t="str">
            <v>B</v>
          </cell>
          <cell r="E37">
            <v>7220.2462522851911</v>
          </cell>
          <cell r="F37">
            <v>24042.172468007313</v>
          </cell>
          <cell r="G37">
            <v>1.2358318098720293</v>
          </cell>
        </row>
        <row r="38">
          <cell r="A38">
            <v>2111</v>
          </cell>
          <cell r="B38" t="str">
            <v>Aircraft Maintenance Hangar</v>
          </cell>
          <cell r="C38" t="str">
            <v>SF</v>
          </cell>
          <cell r="D38" t="str">
            <v>B</v>
          </cell>
          <cell r="E38">
            <v>29346.367114558474</v>
          </cell>
          <cell r="F38">
            <v>45206.69027268386</v>
          </cell>
          <cell r="G38">
            <v>1.4085918854415274</v>
          </cell>
        </row>
        <row r="39">
          <cell r="A39">
            <v>2112</v>
          </cell>
          <cell r="B39" t="str">
            <v>Aircraft Maintenance Shop</v>
          </cell>
          <cell r="C39" t="str">
            <v>SF</v>
          </cell>
          <cell r="D39" t="str">
            <v>B</v>
          </cell>
          <cell r="E39">
            <v>11229.313887277249</v>
          </cell>
          <cell r="F39">
            <v>45663.675296311645</v>
          </cell>
          <cell r="G39">
            <v>1.3050145047658517</v>
          </cell>
        </row>
        <row r="40">
          <cell r="A40">
            <v>2113</v>
          </cell>
          <cell r="B40" t="str">
            <v>Aircraft Corrosion Control Hangar</v>
          </cell>
          <cell r="C40" t="str">
            <v>SF</v>
          </cell>
          <cell r="D40" t="str">
            <v>B</v>
          </cell>
          <cell r="E40">
            <v>17560.152694610777</v>
          </cell>
          <cell r="F40">
            <v>41702.94910179641</v>
          </cell>
          <cell r="G40">
            <v>1.1107784431137724</v>
          </cell>
        </row>
        <row r="41">
          <cell r="A41">
            <v>2114</v>
          </cell>
          <cell r="B41" t="str">
            <v>Aircraft Engine Test Building</v>
          </cell>
          <cell r="C41" t="str">
            <v>SF</v>
          </cell>
          <cell r="D41" t="str">
            <v>B</v>
          </cell>
          <cell r="E41">
            <v>9807.826086956522</v>
          </cell>
          <cell r="F41">
            <v>15837.36231884058</v>
          </cell>
          <cell r="G41">
            <v>0.98550724637681164</v>
          </cell>
        </row>
        <row r="42">
          <cell r="A42">
            <v>2115</v>
          </cell>
          <cell r="B42" t="str">
            <v>Aircraft Maintenance Hangar, Depot</v>
          </cell>
          <cell r="C42" t="str">
            <v>SF</v>
          </cell>
          <cell r="D42" t="str">
            <v>B</v>
          </cell>
          <cell r="E42">
            <v>97602.023255813969</v>
          </cell>
          <cell r="F42">
            <v>223807.18604651163</v>
          </cell>
          <cell r="G42">
            <v>1.3255813953488371</v>
          </cell>
        </row>
        <row r="43">
          <cell r="A43">
            <v>2116</v>
          </cell>
          <cell r="B43" t="str">
            <v>Aircraft Maintenance Shop, Depot</v>
          </cell>
          <cell r="C43" t="str">
            <v>SF</v>
          </cell>
          <cell r="D43" t="str">
            <v>B</v>
          </cell>
          <cell r="E43">
            <v>19907.948632075473</v>
          </cell>
          <cell r="F43">
            <v>92913.618801886798</v>
          </cell>
          <cell r="G43">
            <v>1.2481132075471697</v>
          </cell>
        </row>
        <row r="44">
          <cell r="A44">
            <v>2121</v>
          </cell>
          <cell r="B44" t="str">
            <v>Missile Maintenance/Assembly Building</v>
          </cell>
          <cell r="C44" t="str">
            <v>SF</v>
          </cell>
          <cell r="D44" t="str">
            <v>B</v>
          </cell>
          <cell r="E44">
            <v>11377.461883408072</v>
          </cell>
          <cell r="F44">
            <v>17551.721973094169</v>
          </cell>
          <cell r="G44">
            <v>1.0762331838565022</v>
          </cell>
        </row>
        <row r="45">
          <cell r="A45">
            <v>2123</v>
          </cell>
          <cell r="B45" t="str">
            <v>Missile/Launcher Maintenance Support Facility</v>
          </cell>
          <cell r="C45" t="str">
            <v>SF</v>
          </cell>
          <cell r="D45" t="str">
            <v>B</v>
          </cell>
          <cell r="E45">
            <v>11484.8</v>
          </cell>
          <cell r="F45">
            <v>15847.416666666666</v>
          </cell>
          <cell r="G45">
            <v>1.1000000000000001</v>
          </cell>
        </row>
        <row r="46">
          <cell r="A46">
            <v>2125</v>
          </cell>
          <cell r="B46" t="str">
            <v>Missile Maintenance/Assembly Building, Depot</v>
          </cell>
          <cell r="C46" t="str">
            <v>SF</v>
          </cell>
          <cell r="D46" t="str">
            <v>B</v>
          </cell>
          <cell r="E46">
            <v>30391.566666666669</v>
          </cell>
          <cell r="F46">
            <v>58948.3</v>
          </cell>
          <cell r="G46">
            <v>1.0333333333333334</v>
          </cell>
        </row>
        <row r="47">
          <cell r="A47">
            <v>2126</v>
          </cell>
          <cell r="B47" t="str">
            <v>Intercontinental Ballistic Missile Processing Facility</v>
          </cell>
          <cell r="C47" t="str">
            <v>SF</v>
          </cell>
          <cell r="D47" t="str">
            <v>B</v>
          </cell>
          <cell r="E47">
            <v>33595.321428571428</v>
          </cell>
          <cell r="F47">
            <v>36317.857142857145</v>
          </cell>
          <cell r="G47">
            <v>1.3214285714285714</v>
          </cell>
        </row>
        <row r="48">
          <cell r="A48">
            <v>2133</v>
          </cell>
          <cell r="B48" t="str">
            <v>Marine Maintenance Shop</v>
          </cell>
          <cell r="C48" t="str">
            <v>SF</v>
          </cell>
          <cell r="D48" t="str">
            <v>B</v>
          </cell>
          <cell r="E48">
            <v>16020.202178217824</v>
          </cell>
          <cell r="F48">
            <v>70255.684430693072</v>
          </cell>
          <cell r="G48">
            <v>1.7326732673267327</v>
          </cell>
        </row>
        <row r="49">
          <cell r="A49">
            <v>2134</v>
          </cell>
          <cell r="B49" t="str">
            <v>Marine Maintenance Support Facility</v>
          </cell>
          <cell r="C49" t="str">
            <v>SF</v>
          </cell>
          <cell r="D49" t="str">
            <v>B</v>
          </cell>
          <cell r="E49">
            <v>15103.58923076923</v>
          </cell>
          <cell r="F49">
            <v>45558.635384615387</v>
          </cell>
          <cell r="G49">
            <v>1.7846153846153847</v>
          </cell>
        </row>
        <row r="50">
          <cell r="A50">
            <v>2136</v>
          </cell>
          <cell r="B50" t="str">
            <v>Nuclear Repair Shop</v>
          </cell>
          <cell r="C50" t="str">
            <v>SF</v>
          </cell>
          <cell r="D50" t="str">
            <v>B</v>
          </cell>
          <cell r="E50">
            <v>19151.840270270273</v>
          </cell>
          <cell r="F50">
            <v>68961.380810810806</v>
          </cell>
          <cell r="G50">
            <v>2.0540540540540539</v>
          </cell>
        </row>
        <row r="51">
          <cell r="A51">
            <v>2141</v>
          </cell>
          <cell r="B51" t="str">
            <v>Vehicle Maintenance Shop</v>
          </cell>
          <cell r="C51" t="str">
            <v>SF</v>
          </cell>
          <cell r="D51" t="str">
            <v>B</v>
          </cell>
          <cell r="E51">
            <v>8479.8714353629566</v>
          </cell>
          <cell r="F51">
            <v>12210.675363935627</v>
          </cell>
          <cell r="G51">
            <v>1.123240080453465</v>
          </cell>
        </row>
        <row r="52">
          <cell r="A52">
            <v>2142</v>
          </cell>
          <cell r="B52" t="str">
            <v>Vehicle Maintenance Shop, Depot</v>
          </cell>
          <cell r="C52" t="str">
            <v>SF</v>
          </cell>
          <cell r="D52" t="str">
            <v>B</v>
          </cell>
          <cell r="E52">
            <v>27335.256255924171</v>
          </cell>
          <cell r="F52">
            <v>41035.174095238093</v>
          </cell>
          <cell r="G52">
            <v>1.066350710900474</v>
          </cell>
        </row>
        <row r="53">
          <cell r="A53">
            <v>2143</v>
          </cell>
          <cell r="B53" t="str">
            <v>Vehicle Maintenance Shop, National Guard</v>
          </cell>
          <cell r="C53" t="str">
            <v>SF</v>
          </cell>
          <cell r="D53" t="str">
            <v>B</v>
          </cell>
          <cell r="E53">
            <v>14572.102753303965</v>
          </cell>
          <cell r="F53">
            <v>21892.695440528634</v>
          </cell>
          <cell r="G53">
            <v>1.0253025302530252</v>
          </cell>
        </row>
        <row r="54">
          <cell r="A54">
            <v>2144</v>
          </cell>
          <cell r="B54" t="str">
            <v>Vehicle Maintenance Shop, Reserve</v>
          </cell>
          <cell r="C54" t="str">
            <v>SF</v>
          </cell>
          <cell r="D54" t="str">
            <v>B</v>
          </cell>
          <cell r="E54">
            <v>7227.4037062146881</v>
          </cell>
          <cell r="F54">
            <v>8924.6933559322024</v>
          </cell>
          <cell r="G54">
            <v>1.6870056497175141</v>
          </cell>
        </row>
        <row r="55">
          <cell r="A55">
            <v>2151</v>
          </cell>
          <cell r="B55" t="str">
            <v>Weapon Maintenance Shop</v>
          </cell>
          <cell r="C55" t="str">
            <v>SF</v>
          </cell>
          <cell r="D55" t="str">
            <v>B</v>
          </cell>
          <cell r="E55">
            <v>9595.3966187050373</v>
          </cell>
          <cell r="F55">
            <v>18107.381294964027</v>
          </cell>
          <cell r="G55">
            <v>1.1510791366906474</v>
          </cell>
        </row>
        <row r="56">
          <cell r="A56">
            <v>2152</v>
          </cell>
          <cell r="B56" t="str">
            <v>Weapon Maintenance Shop, Depot</v>
          </cell>
          <cell r="C56" t="str">
            <v>SF</v>
          </cell>
          <cell r="D56" t="str">
            <v>B</v>
          </cell>
          <cell r="E56">
            <v>11255.984512195122</v>
          </cell>
          <cell r="F56">
            <v>43314.146707317072</v>
          </cell>
          <cell r="G56">
            <v>1.1097560975609757</v>
          </cell>
        </row>
        <row r="57">
          <cell r="A57">
            <v>2153</v>
          </cell>
          <cell r="B57" t="str">
            <v>Special Weapon Maintenance Shop</v>
          </cell>
          <cell r="C57" t="str">
            <v>SF</v>
          </cell>
          <cell r="D57" t="str">
            <v>B</v>
          </cell>
          <cell r="E57">
            <v>6880.4782608695641</v>
          </cell>
          <cell r="F57">
            <v>8826.2028985507259</v>
          </cell>
          <cell r="G57">
            <v>1</v>
          </cell>
        </row>
        <row r="58">
          <cell r="A58">
            <v>2161</v>
          </cell>
          <cell r="B58" t="str">
            <v>Ammunition Maintenance Shop</v>
          </cell>
          <cell r="C58" t="str">
            <v>SF</v>
          </cell>
          <cell r="D58" t="str">
            <v>B</v>
          </cell>
          <cell r="E58">
            <v>9031.0729032258059</v>
          </cell>
          <cell r="F58">
            <v>9105.3954838709669</v>
          </cell>
          <cell r="G58">
            <v>1.032258064516129</v>
          </cell>
        </row>
        <row r="59">
          <cell r="A59">
            <v>2162</v>
          </cell>
          <cell r="B59" t="str">
            <v>Ammunition Maintenance Shop, Depot</v>
          </cell>
          <cell r="C59" t="str">
            <v>SF</v>
          </cell>
          <cell r="D59" t="str">
            <v>B</v>
          </cell>
          <cell r="E59">
            <v>5280.7654280670786</v>
          </cell>
          <cell r="F59">
            <v>7312.1105212014127</v>
          </cell>
          <cell r="G59">
            <v>1.0397175639894087</v>
          </cell>
        </row>
        <row r="60">
          <cell r="A60">
            <v>2171</v>
          </cell>
          <cell r="B60" t="str">
            <v>Electronic and Communication Maintenance Shop</v>
          </cell>
          <cell r="C60" t="str">
            <v>SF</v>
          </cell>
          <cell r="D60" t="str">
            <v>B</v>
          </cell>
          <cell r="E60">
            <v>7970.7588083416085</v>
          </cell>
          <cell r="F60">
            <v>37136.954558093348</v>
          </cell>
          <cell r="G60">
            <v>1.2720953326713009</v>
          </cell>
        </row>
        <row r="61">
          <cell r="A61">
            <v>2172</v>
          </cell>
          <cell r="B61" t="str">
            <v>Electronic and Communication Maintenance Shop, Depot</v>
          </cell>
          <cell r="C61" t="str">
            <v>SF</v>
          </cell>
          <cell r="D61" t="str">
            <v>B</v>
          </cell>
          <cell r="E61">
            <v>19175.261022727274</v>
          </cell>
          <cell r="F61">
            <v>46321.533750000002</v>
          </cell>
          <cell r="G61">
            <v>1.0852272727272727</v>
          </cell>
        </row>
        <row r="62">
          <cell r="A62">
            <v>2181</v>
          </cell>
          <cell r="B62" t="str">
            <v>Installation Support Vehicle Maintenance Shop</v>
          </cell>
          <cell r="C62" t="str">
            <v>SF</v>
          </cell>
          <cell r="D62" t="str">
            <v>B</v>
          </cell>
          <cell r="E62">
            <v>8740.4848668796585</v>
          </cell>
          <cell r="F62">
            <v>17810.33009057006</v>
          </cell>
          <cell r="G62">
            <v>1.1150159744408945</v>
          </cell>
        </row>
        <row r="63">
          <cell r="A63">
            <v>2182</v>
          </cell>
          <cell r="B63" t="str">
            <v>Installation Support Equipment Maintenance Shop</v>
          </cell>
          <cell r="C63" t="str">
            <v>SF</v>
          </cell>
          <cell r="D63" t="str">
            <v>B</v>
          </cell>
          <cell r="E63">
            <v>6375.1016268980475</v>
          </cell>
          <cell r="F63">
            <v>21906.839197396963</v>
          </cell>
          <cell r="G63">
            <v>1.086767895878525</v>
          </cell>
        </row>
        <row r="64">
          <cell r="A64">
            <v>2183</v>
          </cell>
          <cell r="B64" t="str">
            <v>Railroad Equipment Shop</v>
          </cell>
          <cell r="C64" t="str">
            <v>SF</v>
          </cell>
          <cell r="D64" t="str">
            <v>B</v>
          </cell>
          <cell r="E64">
            <v>6877.52</v>
          </cell>
          <cell r="F64">
            <v>7502.7333333333327</v>
          </cell>
          <cell r="G64">
            <v>1.1066666666666667</v>
          </cell>
        </row>
        <row r="65">
          <cell r="A65">
            <v>2184</v>
          </cell>
          <cell r="B65" t="str">
            <v>Parachute And Dingy Maintenance Shop</v>
          </cell>
          <cell r="C65" t="str">
            <v>SF</v>
          </cell>
          <cell r="D65" t="str">
            <v>B</v>
          </cell>
          <cell r="E65">
            <v>10756.35215339233</v>
          </cell>
          <cell r="F65">
            <v>34889.518761061947</v>
          </cell>
          <cell r="G65">
            <v>1.2654867256637168</v>
          </cell>
        </row>
        <row r="66">
          <cell r="A66">
            <v>2191</v>
          </cell>
          <cell r="B66" t="str">
            <v>Facility Engineer Maintenance Shop</v>
          </cell>
          <cell r="C66" t="str">
            <v>SF</v>
          </cell>
          <cell r="D66" t="str">
            <v>B</v>
          </cell>
          <cell r="E66">
            <v>5601.7193702882478</v>
          </cell>
          <cell r="F66">
            <v>16233.221242236026</v>
          </cell>
          <cell r="G66">
            <v>1.1634146341463414</v>
          </cell>
        </row>
        <row r="67">
          <cell r="A67">
            <v>2211</v>
          </cell>
          <cell r="B67" t="str">
            <v>Aircraft Production Plant</v>
          </cell>
          <cell r="C67" t="str">
            <v>SF</v>
          </cell>
          <cell r="D67" t="str">
            <v>B</v>
          </cell>
          <cell r="E67">
            <v>86296.917910447766</v>
          </cell>
          <cell r="F67">
            <v>104024.89552238806</v>
          </cell>
          <cell r="G67">
            <v>1.1343283582089552</v>
          </cell>
        </row>
        <row r="68">
          <cell r="A68">
            <v>2221</v>
          </cell>
          <cell r="B68" t="str">
            <v>Missile Production Plant</v>
          </cell>
          <cell r="C68" t="str">
            <v>SF</v>
          </cell>
          <cell r="D68" t="str">
            <v>B</v>
          </cell>
          <cell r="E68">
            <v>13466.245283018867</v>
          </cell>
          <cell r="F68">
            <v>20821.886792452831</v>
          </cell>
          <cell r="G68">
            <v>1</v>
          </cell>
        </row>
        <row r="69">
          <cell r="A69">
            <v>2231</v>
          </cell>
          <cell r="B69" t="str">
            <v>Ship Production Plant</v>
          </cell>
          <cell r="C69" t="str">
            <v>SF</v>
          </cell>
          <cell r="D69" t="str">
            <v>B</v>
          </cell>
          <cell r="E69">
            <v>28271.128888888888</v>
          </cell>
          <cell r="F69">
            <v>28448.906666666666</v>
          </cell>
          <cell r="G69">
            <v>1.3333333333333333</v>
          </cell>
        </row>
        <row r="70">
          <cell r="A70">
            <v>2241</v>
          </cell>
          <cell r="B70" t="str">
            <v>Tank/Automotive Production Plant</v>
          </cell>
          <cell r="C70" t="str">
            <v>SF</v>
          </cell>
          <cell r="D70" t="str">
            <v>B</v>
          </cell>
          <cell r="E70">
            <v>59690.0625</v>
          </cell>
          <cell r="F70">
            <v>189639.6875</v>
          </cell>
          <cell r="G70">
            <v>1.1875</v>
          </cell>
        </row>
        <row r="71">
          <cell r="A71">
            <v>2251</v>
          </cell>
          <cell r="B71" t="str">
            <v>Weapon Production Plant</v>
          </cell>
          <cell r="C71" t="str">
            <v>SF</v>
          </cell>
          <cell r="D71" t="str">
            <v>B</v>
          </cell>
          <cell r="E71">
            <v>46215.046875</v>
          </cell>
          <cell r="F71">
            <v>129488.91796875</v>
          </cell>
          <cell r="G71">
            <v>1.828125</v>
          </cell>
        </row>
        <row r="72">
          <cell r="A72">
            <v>2261</v>
          </cell>
          <cell r="B72" t="str">
            <v>Ammunition Production Plant</v>
          </cell>
          <cell r="C72" t="str">
            <v>SF</v>
          </cell>
          <cell r="D72" t="str">
            <v>B</v>
          </cell>
          <cell r="E72">
            <v>6162.703530571991</v>
          </cell>
          <cell r="F72">
            <v>7105.5142130177501</v>
          </cell>
          <cell r="G72">
            <v>1.2453648915187376</v>
          </cell>
        </row>
        <row r="73">
          <cell r="A73">
            <v>2264</v>
          </cell>
          <cell r="B73" t="str">
            <v>Ammunition Demilitarization Plant</v>
          </cell>
          <cell r="C73" t="str">
            <v>SF</v>
          </cell>
          <cell r="D73" t="str">
            <v>B</v>
          </cell>
          <cell r="E73">
            <v>9203.5714285714294</v>
          </cell>
          <cell r="F73">
            <v>9812.9285714285706</v>
          </cell>
          <cell r="G73">
            <v>1.2142857142857142</v>
          </cell>
        </row>
        <row r="74">
          <cell r="A74">
            <v>2271</v>
          </cell>
          <cell r="B74" t="str">
            <v>Electronic and Communication Production Plant</v>
          </cell>
          <cell r="C74" t="str">
            <v>SF</v>
          </cell>
          <cell r="D74" t="str">
            <v>B</v>
          </cell>
          <cell r="E74">
            <v>59047</v>
          </cell>
          <cell r="F74">
            <v>118997.36363636365</v>
          </cell>
          <cell r="G74">
            <v>1.7272727272727273</v>
          </cell>
        </row>
        <row r="75">
          <cell r="A75">
            <v>2281</v>
          </cell>
          <cell r="B75" t="str">
            <v>Miscellaneous Support Production Plant</v>
          </cell>
          <cell r="C75" t="str">
            <v>SF</v>
          </cell>
          <cell r="D75" t="str">
            <v>B</v>
          </cell>
          <cell r="E75">
            <v>9872.5789843750008</v>
          </cell>
          <cell r="F75">
            <v>26446.920468749999</v>
          </cell>
          <cell r="G75">
            <v>1.1875</v>
          </cell>
        </row>
        <row r="76">
          <cell r="A76">
            <v>3101</v>
          </cell>
          <cell r="B76" t="str">
            <v>RDT&amp;E Laboratory</v>
          </cell>
          <cell r="C76" t="str">
            <v>SF</v>
          </cell>
          <cell r="D76" t="str">
            <v>B</v>
          </cell>
          <cell r="E76">
            <v>14842.123068651779</v>
          </cell>
          <cell r="F76">
            <v>33433.506559139787</v>
          </cell>
          <cell r="G76">
            <v>1.4400330851943755</v>
          </cell>
        </row>
        <row r="77">
          <cell r="A77">
            <v>3102</v>
          </cell>
          <cell r="B77" t="str">
            <v>Medical Research Laboratory</v>
          </cell>
          <cell r="C77" t="str">
            <v>SF</v>
          </cell>
          <cell r="D77" t="str">
            <v>B</v>
          </cell>
          <cell r="E77">
            <v>34372.819696969695</v>
          </cell>
          <cell r="F77">
            <v>52492.94090909091</v>
          </cell>
          <cell r="G77">
            <v>1.9090909090909092</v>
          </cell>
        </row>
        <row r="78">
          <cell r="A78">
            <v>3103</v>
          </cell>
          <cell r="B78" t="str">
            <v>Biosafety Level 3 Laboratory</v>
          </cell>
          <cell r="C78" t="str">
            <v>SF</v>
          </cell>
          <cell r="D78" t="str">
            <v>B</v>
          </cell>
          <cell r="E78">
            <v>10266.203333333333</v>
          </cell>
          <cell r="F78">
            <v>41425.17</v>
          </cell>
          <cell r="G78">
            <v>1.8</v>
          </cell>
        </row>
        <row r="79">
          <cell r="A79">
            <v>3104</v>
          </cell>
          <cell r="B79" t="str">
            <v>Biosafety Level 4 Laboratory</v>
          </cell>
          <cell r="C79" t="str">
            <v>SF</v>
          </cell>
          <cell r="D79" t="str">
            <v>B</v>
          </cell>
          <cell r="E79">
            <v>270</v>
          </cell>
          <cell r="F79">
            <v>5487</v>
          </cell>
          <cell r="G79">
            <v>1</v>
          </cell>
        </row>
        <row r="80">
          <cell r="A80">
            <v>3111</v>
          </cell>
          <cell r="B80" t="str">
            <v>Aircraft RDT&amp;E Facility</v>
          </cell>
          <cell r="C80" t="str">
            <v>SF</v>
          </cell>
          <cell r="D80" t="str">
            <v>B</v>
          </cell>
          <cell r="E80">
            <v>21073.445744680852</v>
          </cell>
          <cell r="F80">
            <v>48973.811702127656</v>
          </cell>
          <cell r="G80">
            <v>1.4617021276595745</v>
          </cell>
        </row>
        <row r="81">
          <cell r="A81">
            <v>3121</v>
          </cell>
          <cell r="B81" t="str">
            <v>Missile and Space RDT&amp;E Facility</v>
          </cell>
          <cell r="C81" t="str">
            <v>SF</v>
          </cell>
          <cell r="D81" t="str">
            <v>B</v>
          </cell>
          <cell r="E81">
            <v>13843.485407066053</v>
          </cell>
          <cell r="F81">
            <v>21582.342549923196</v>
          </cell>
          <cell r="G81">
            <v>1.2995391705069124</v>
          </cell>
        </row>
        <row r="82">
          <cell r="A82">
            <v>3131</v>
          </cell>
          <cell r="B82" t="str">
            <v>Ship and Marine RDT&amp;E Facility</v>
          </cell>
          <cell r="C82" t="str">
            <v>SF</v>
          </cell>
          <cell r="D82" t="str">
            <v>B</v>
          </cell>
          <cell r="E82">
            <v>24757.179012345681</v>
          </cell>
          <cell r="F82">
            <v>48010.858024691355</v>
          </cell>
          <cell r="G82">
            <v>1.6666666666666667</v>
          </cell>
        </row>
        <row r="83">
          <cell r="A83">
            <v>3141</v>
          </cell>
          <cell r="B83" t="str">
            <v>Tank and Automotive RDT&amp;E Facility</v>
          </cell>
          <cell r="C83" t="str">
            <v>SF</v>
          </cell>
          <cell r="D83" t="str">
            <v>B</v>
          </cell>
          <cell r="E83">
            <v>16334.553050847459</v>
          </cell>
          <cell r="F83">
            <v>21084.305423728816</v>
          </cell>
          <cell r="G83">
            <v>1.0847457627118644</v>
          </cell>
        </row>
        <row r="84">
          <cell r="A84">
            <v>3151</v>
          </cell>
          <cell r="B84" t="str">
            <v>Weapons RDT&amp;E Facility</v>
          </cell>
          <cell r="C84" t="str">
            <v>SF</v>
          </cell>
          <cell r="D84" t="str">
            <v>B</v>
          </cell>
          <cell r="E84">
            <v>9792.3081070745702</v>
          </cell>
          <cell r="F84">
            <v>16590.839445506692</v>
          </cell>
          <cell r="G84">
            <v>1.3193116634799236</v>
          </cell>
        </row>
        <row r="85">
          <cell r="A85">
            <v>3161</v>
          </cell>
          <cell r="B85" t="str">
            <v>Ammunition, Explosive, and Toxic RDT&amp;E Facility</v>
          </cell>
          <cell r="C85" t="str">
            <v>SF</v>
          </cell>
          <cell r="D85" t="str">
            <v>B</v>
          </cell>
          <cell r="E85">
            <v>3329.278297029703</v>
          </cell>
          <cell r="F85">
            <v>3617.9000990099012</v>
          </cell>
          <cell r="G85">
            <v>1.1524752475247524</v>
          </cell>
        </row>
        <row r="86">
          <cell r="A86">
            <v>3171</v>
          </cell>
          <cell r="B86" t="str">
            <v>Electronic and Communication RDT&amp;E Facility</v>
          </cell>
          <cell r="C86" t="str">
            <v>SF</v>
          </cell>
          <cell r="D86" t="str">
            <v>B</v>
          </cell>
          <cell r="E86">
            <v>11208.931526845638</v>
          </cell>
          <cell r="F86">
            <v>23910.157716204871</v>
          </cell>
          <cell r="G86">
            <v>1.3355704697986577</v>
          </cell>
        </row>
        <row r="87">
          <cell r="A87">
            <v>3181</v>
          </cell>
          <cell r="B87" t="str">
            <v>Propulsion RDT&amp;E Facility</v>
          </cell>
          <cell r="C87" t="str">
            <v>SF</v>
          </cell>
          <cell r="D87" t="str">
            <v>B</v>
          </cell>
          <cell r="E87">
            <v>10093.921871794872</v>
          </cell>
          <cell r="F87">
            <v>17523.824435897433</v>
          </cell>
          <cell r="G87">
            <v>1.1974358974358974</v>
          </cell>
        </row>
        <row r="88">
          <cell r="A88">
            <v>3191</v>
          </cell>
          <cell r="B88" t="str">
            <v>Miscellaneous Item and Equipment RDT&amp;E Facility</v>
          </cell>
          <cell r="C88" t="str">
            <v>SF</v>
          </cell>
          <cell r="D88" t="str">
            <v>B</v>
          </cell>
          <cell r="E88">
            <v>8573.2314194139199</v>
          </cell>
          <cell r="F88">
            <v>20237.436031164067</v>
          </cell>
          <cell r="G88">
            <v>1.2948717948717949</v>
          </cell>
        </row>
        <row r="89">
          <cell r="A89">
            <v>3201</v>
          </cell>
          <cell r="B89" t="str">
            <v>Underwater Equipment RDT&amp;E Facility</v>
          </cell>
          <cell r="C89" t="str">
            <v>SF</v>
          </cell>
          <cell r="D89" t="str">
            <v>B</v>
          </cell>
          <cell r="E89">
            <v>9111.1384615384613</v>
          </cell>
          <cell r="F89">
            <v>28496.246153846154</v>
          </cell>
          <cell r="G89">
            <v>1.5076923076923077</v>
          </cell>
        </row>
        <row r="90">
          <cell r="A90">
            <v>3211</v>
          </cell>
          <cell r="B90" t="str">
            <v>RDT&amp;E Technical Service Facility</v>
          </cell>
          <cell r="C90" t="str">
            <v>SF</v>
          </cell>
          <cell r="D90" t="str">
            <v>B</v>
          </cell>
          <cell r="E90">
            <v>13209.701030927836</v>
          </cell>
          <cell r="F90">
            <v>45104.360824742274</v>
          </cell>
          <cell r="G90">
            <v>1.4123711340206186</v>
          </cell>
        </row>
        <row r="91">
          <cell r="A91">
            <v>3711</v>
          </cell>
          <cell r="B91" t="str">
            <v>RDT&amp;E Range Building</v>
          </cell>
          <cell r="C91" t="str">
            <v>SF</v>
          </cell>
          <cell r="D91" t="str">
            <v>B</v>
          </cell>
          <cell r="E91">
            <v>2895.6070175438595</v>
          </cell>
          <cell r="F91">
            <v>3936.6973879142297</v>
          </cell>
          <cell r="G91">
            <v>1.0799220272904484</v>
          </cell>
        </row>
        <row r="92">
          <cell r="A92">
            <v>4122</v>
          </cell>
          <cell r="B92" t="str">
            <v>Liquid Oxygen Storage</v>
          </cell>
          <cell r="C92" t="str">
            <v>SF</v>
          </cell>
          <cell r="D92" t="str">
            <v>B</v>
          </cell>
          <cell r="E92">
            <v>1579.15625</v>
          </cell>
          <cell r="F92">
            <v>1702.0442708333333</v>
          </cell>
          <cell r="G92">
            <v>0.80208333333333337</v>
          </cell>
        </row>
        <row r="93">
          <cell r="A93">
            <v>4211</v>
          </cell>
          <cell r="B93" t="str">
            <v>Ammunition Storage, Depot and Arsenal</v>
          </cell>
          <cell r="C93" t="str">
            <v>SF</v>
          </cell>
          <cell r="D93" t="str">
            <v>B</v>
          </cell>
          <cell r="E93">
            <v>2721.4074068774521</v>
          </cell>
          <cell r="F93">
            <v>2856.1992043775394</v>
          </cell>
          <cell r="G93">
            <v>1</v>
          </cell>
        </row>
        <row r="94">
          <cell r="A94">
            <v>4212</v>
          </cell>
          <cell r="B94" t="str">
            <v>Intercontinental Ballistic Missile Storage Facility</v>
          </cell>
          <cell r="C94" t="str">
            <v>SF</v>
          </cell>
          <cell r="D94" t="str">
            <v>B</v>
          </cell>
          <cell r="E94">
            <v>3089.4385964912281</v>
          </cell>
          <cell r="F94">
            <v>3089.4385964912281</v>
          </cell>
          <cell r="G94">
            <v>1</v>
          </cell>
        </row>
        <row r="95">
          <cell r="A95">
            <v>4221</v>
          </cell>
          <cell r="B95" t="str">
            <v>Ammunition Storage, Installation</v>
          </cell>
          <cell r="C95" t="str">
            <v>SF</v>
          </cell>
          <cell r="D95" t="str">
            <v>B</v>
          </cell>
          <cell r="E95">
            <v>2222.295949753463</v>
          </cell>
          <cell r="F95">
            <v>2344.8320169053768</v>
          </cell>
          <cell r="G95">
            <v>0.94000939187602728</v>
          </cell>
        </row>
        <row r="96">
          <cell r="A96">
            <v>4241</v>
          </cell>
          <cell r="B96" t="str">
            <v>Battery Storage, Weapon Related</v>
          </cell>
          <cell r="C96" t="str">
            <v>SF</v>
          </cell>
          <cell r="D96" t="str">
            <v>B</v>
          </cell>
          <cell r="E96">
            <v>1903.3125</v>
          </cell>
          <cell r="F96">
            <v>3640.0625</v>
          </cell>
          <cell r="G96">
            <v>1</v>
          </cell>
        </row>
        <row r="97">
          <cell r="A97">
            <v>4311</v>
          </cell>
          <cell r="B97" t="str">
            <v>Cold Storage, Depot</v>
          </cell>
          <cell r="C97" t="str">
            <v>SF</v>
          </cell>
          <cell r="D97" t="str">
            <v>B</v>
          </cell>
          <cell r="E97">
            <v>19779.833333333336</v>
          </cell>
          <cell r="F97">
            <v>177482.64285714287</v>
          </cell>
          <cell r="G97">
            <v>1.126984126984127</v>
          </cell>
        </row>
        <row r="98">
          <cell r="A98">
            <v>4321</v>
          </cell>
          <cell r="B98" t="str">
            <v>Cold Storage, Installation</v>
          </cell>
          <cell r="C98" t="str">
            <v>SF</v>
          </cell>
          <cell r="D98" t="str">
            <v>B</v>
          </cell>
          <cell r="E98">
            <v>8864.282552447552</v>
          </cell>
          <cell r="F98">
            <v>44397.289545454551</v>
          </cell>
          <cell r="G98">
            <v>1.0769230769230769</v>
          </cell>
        </row>
        <row r="99">
          <cell r="A99">
            <v>4411</v>
          </cell>
          <cell r="B99" t="str">
            <v>Covered Storage Building, Depot</v>
          </cell>
          <cell r="C99" t="str">
            <v>SF</v>
          </cell>
          <cell r="D99" t="str">
            <v>B</v>
          </cell>
          <cell r="E99">
            <v>19151.437805892547</v>
          </cell>
          <cell r="F99">
            <v>30237.976360485271</v>
          </cell>
          <cell r="G99">
            <v>1.0253032928942807</v>
          </cell>
        </row>
        <row r="100">
          <cell r="A100">
            <v>4413</v>
          </cell>
          <cell r="B100" t="str">
            <v>Hazardous Materials Storage, Depot</v>
          </cell>
          <cell r="C100" t="str">
            <v>SF</v>
          </cell>
          <cell r="D100" t="str">
            <v>B</v>
          </cell>
          <cell r="E100">
            <v>4307.2975975975978</v>
          </cell>
          <cell r="F100">
            <v>20542.410210210212</v>
          </cell>
          <cell r="G100">
            <v>1.0090090090090089</v>
          </cell>
        </row>
        <row r="101">
          <cell r="A101">
            <v>4414</v>
          </cell>
          <cell r="B101" t="str">
            <v>Controlled Humidity Storage, Depot</v>
          </cell>
          <cell r="C101" t="str">
            <v>SF</v>
          </cell>
          <cell r="D101" t="str">
            <v>B</v>
          </cell>
          <cell r="E101">
            <v>20667.338323353295</v>
          </cell>
          <cell r="F101">
            <v>27827.784431137723</v>
          </cell>
          <cell r="G101">
            <v>1.0658682634730539</v>
          </cell>
        </row>
        <row r="102">
          <cell r="A102">
            <v>4421</v>
          </cell>
          <cell r="B102" t="str">
            <v>Covered Storage Building, Installation</v>
          </cell>
          <cell r="C102" t="str">
            <v>SF</v>
          </cell>
          <cell r="D102" t="str">
            <v>B</v>
          </cell>
          <cell r="E102">
            <v>7207.0940532034911</v>
          </cell>
          <cell r="F102">
            <v>14366.249408955757</v>
          </cell>
          <cell r="G102">
            <v>1.0988064841755241</v>
          </cell>
        </row>
        <row r="103">
          <cell r="A103">
            <v>4423</v>
          </cell>
          <cell r="B103" t="str">
            <v>Hazardous Materials Storage, Installation</v>
          </cell>
          <cell r="C103" t="str">
            <v>SF</v>
          </cell>
          <cell r="D103" t="str">
            <v>B</v>
          </cell>
          <cell r="E103">
            <v>1251.479205323938</v>
          </cell>
          <cell r="F103">
            <v>2760.2356591576886</v>
          </cell>
          <cell r="G103">
            <v>0.98414562536699945</v>
          </cell>
        </row>
        <row r="104">
          <cell r="A104">
            <v>4424</v>
          </cell>
          <cell r="B104" t="str">
            <v>Controlled Humidity Storage, Installation</v>
          </cell>
          <cell r="C104" t="str">
            <v>SF</v>
          </cell>
          <cell r="D104" t="str">
            <v>B</v>
          </cell>
          <cell r="E104">
            <v>19180.943749999999</v>
          </cell>
          <cell r="F104">
            <v>29370.92625</v>
          </cell>
          <cell r="G104">
            <v>1.1325000000000001</v>
          </cell>
        </row>
        <row r="105">
          <cell r="A105">
            <v>4425</v>
          </cell>
          <cell r="B105" t="str">
            <v>Vehicle Storage, Covered</v>
          </cell>
          <cell r="C105" t="str">
            <v>SF</v>
          </cell>
          <cell r="D105" t="str">
            <v>B</v>
          </cell>
          <cell r="E105">
            <v>7559.0725588697005</v>
          </cell>
          <cell r="F105">
            <v>17050.182448979594</v>
          </cell>
          <cell r="G105">
            <v>1.0863422291993721</v>
          </cell>
        </row>
        <row r="106">
          <cell r="A106">
            <v>4426</v>
          </cell>
          <cell r="B106" t="str">
            <v>Storage Silo, Loose Material</v>
          </cell>
          <cell r="C106" t="str">
            <v>SF</v>
          </cell>
          <cell r="D106" t="str">
            <v>B</v>
          </cell>
          <cell r="E106">
            <v>3118.7460317460313</v>
          </cell>
          <cell r="F106">
            <v>3121.7619047619041</v>
          </cell>
          <cell r="G106">
            <v>1.0317460317460319</v>
          </cell>
        </row>
        <row r="107">
          <cell r="A107">
            <v>4427</v>
          </cell>
          <cell r="B107" t="str">
            <v>Small Arms Storage, Installation</v>
          </cell>
          <cell r="C107" t="str">
            <v>SF</v>
          </cell>
          <cell r="D107" t="str">
            <v>B</v>
          </cell>
          <cell r="E107">
            <v>2302.5289552238801</v>
          </cell>
          <cell r="F107">
            <v>22208.960642939153</v>
          </cell>
          <cell r="G107">
            <v>1.4087256027554536</v>
          </cell>
        </row>
        <row r="108">
          <cell r="A108">
            <v>4428</v>
          </cell>
          <cell r="B108" t="str">
            <v>Storage and Customer Issue</v>
          </cell>
          <cell r="C108" t="str">
            <v>SF</v>
          </cell>
          <cell r="D108" t="str">
            <v>B</v>
          </cell>
          <cell r="E108">
            <v>13730.764235832856</v>
          </cell>
          <cell r="F108">
            <v>35644.153995420718</v>
          </cell>
          <cell r="G108">
            <v>1.137378362907842</v>
          </cell>
        </row>
        <row r="109">
          <cell r="A109">
            <v>5100</v>
          </cell>
          <cell r="B109" t="str">
            <v>Hospital</v>
          </cell>
          <cell r="C109" t="str">
            <v>SF</v>
          </cell>
          <cell r="D109" t="str">
            <v>B</v>
          </cell>
          <cell r="E109">
            <v>173112.61698224852</v>
          </cell>
          <cell r="F109">
            <v>210530.59254545456</v>
          </cell>
          <cell r="G109">
            <v>3.2662721893491122</v>
          </cell>
        </row>
        <row r="110">
          <cell r="A110">
            <v>5302</v>
          </cell>
          <cell r="B110" t="str">
            <v>Medical Laboratory</v>
          </cell>
          <cell r="C110" t="str">
            <v>SF</v>
          </cell>
          <cell r="D110" t="str">
            <v>B</v>
          </cell>
          <cell r="E110">
            <v>7836.8330097087373</v>
          </cell>
          <cell r="F110">
            <v>110441.71262135924</v>
          </cell>
          <cell r="G110">
            <v>1.9514563106796117</v>
          </cell>
        </row>
        <row r="111">
          <cell r="A111">
            <v>5303</v>
          </cell>
          <cell r="B111" t="str">
            <v>Morgue</v>
          </cell>
          <cell r="C111" t="str">
            <v>SF</v>
          </cell>
          <cell r="D111" t="str">
            <v>B</v>
          </cell>
          <cell r="E111">
            <v>6875.7619047619046</v>
          </cell>
          <cell r="F111">
            <v>47288.857142857145</v>
          </cell>
          <cell r="G111">
            <v>1.3809523809523809</v>
          </cell>
        </row>
        <row r="112">
          <cell r="A112">
            <v>5304</v>
          </cell>
          <cell r="B112" t="str">
            <v>Veterinary Facility</v>
          </cell>
          <cell r="C112" t="str">
            <v>SF</v>
          </cell>
          <cell r="D112" t="str">
            <v>B</v>
          </cell>
          <cell r="E112">
            <v>3458.1397306397307</v>
          </cell>
          <cell r="F112">
            <v>13425.921212121213</v>
          </cell>
          <cell r="G112">
            <v>1.1447811447811447</v>
          </cell>
        </row>
        <row r="113">
          <cell r="A113">
            <v>5306</v>
          </cell>
          <cell r="B113" t="str">
            <v>Medical Warehouse</v>
          </cell>
          <cell r="C113" t="str">
            <v>SF</v>
          </cell>
          <cell r="D113" t="str">
            <v>B</v>
          </cell>
          <cell r="E113">
            <v>12495.81223140496</v>
          </cell>
          <cell r="F113">
            <v>48503.673202479345</v>
          </cell>
          <cell r="G113">
            <v>1.3574380165289257</v>
          </cell>
        </row>
        <row r="114">
          <cell r="A114">
            <v>5307</v>
          </cell>
          <cell r="B114" t="str">
            <v>Ambulance Shelter</v>
          </cell>
          <cell r="C114" t="str">
            <v>SF</v>
          </cell>
          <cell r="D114" t="str">
            <v>B</v>
          </cell>
          <cell r="E114">
            <v>1684.2547169811319</v>
          </cell>
          <cell r="F114">
            <v>68845.886792452831</v>
          </cell>
          <cell r="G114">
            <v>1.3396226415094339</v>
          </cell>
        </row>
        <row r="115">
          <cell r="A115">
            <v>5400</v>
          </cell>
          <cell r="B115" t="str">
            <v>Dental Facility</v>
          </cell>
          <cell r="C115" t="str">
            <v>SF</v>
          </cell>
          <cell r="D115" t="str">
            <v>B</v>
          </cell>
          <cell r="E115">
            <v>11286.372670299726</v>
          </cell>
          <cell r="F115">
            <v>63364.807711171663</v>
          </cell>
          <cell r="G115">
            <v>1.7384196185286103</v>
          </cell>
        </row>
        <row r="116">
          <cell r="A116">
            <v>5500</v>
          </cell>
          <cell r="B116" t="str">
            <v>Dispensary And Clinic</v>
          </cell>
          <cell r="C116" t="str">
            <v>SF</v>
          </cell>
          <cell r="D116" t="str">
            <v>B</v>
          </cell>
          <cell r="E116">
            <v>15765.048343195267</v>
          </cell>
          <cell r="F116">
            <v>104761.84007889549</v>
          </cell>
          <cell r="G116">
            <v>1.8507560815253123</v>
          </cell>
        </row>
        <row r="117">
          <cell r="A117">
            <v>5501</v>
          </cell>
          <cell r="B117" t="str">
            <v>Ambulatory Care Clinic</v>
          </cell>
          <cell r="C117" t="str">
            <v>SF</v>
          </cell>
          <cell r="D117" t="str">
            <v>B</v>
          </cell>
          <cell r="E117">
            <v>31112.428571428572</v>
          </cell>
          <cell r="F117">
            <v>36096.285714285717</v>
          </cell>
          <cell r="G117">
            <v>2</v>
          </cell>
        </row>
        <row r="118">
          <cell r="A118">
            <v>6100</v>
          </cell>
          <cell r="B118" t="str">
            <v>General Administrative Building</v>
          </cell>
          <cell r="C118" t="str">
            <v>SF</v>
          </cell>
          <cell r="D118" t="str">
            <v>B</v>
          </cell>
          <cell r="E118">
            <v>9925.3279751661266</v>
          </cell>
          <cell r="F118">
            <v>35256.655954436967</v>
          </cell>
          <cell r="G118">
            <v>1.5509838998211092</v>
          </cell>
        </row>
        <row r="119">
          <cell r="A119">
            <v>6101</v>
          </cell>
          <cell r="B119" t="str">
            <v>Small Unit Headquarters Building</v>
          </cell>
          <cell r="C119" t="str">
            <v>SF</v>
          </cell>
          <cell r="D119" t="str">
            <v>B</v>
          </cell>
          <cell r="E119">
            <v>10828.134493732194</v>
          </cell>
          <cell r="F119">
            <v>25455.952039053594</v>
          </cell>
          <cell r="G119">
            <v>1.6969524352036456</v>
          </cell>
        </row>
        <row r="120">
          <cell r="A120">
            <v>6102</v>
          </cell>
          <cell r="B120" t="str">
            <v>Large Unit Headquarters Building</v>
          </cell>
          <cell r="C120" t="str">
            <v>SF</v>
          </cell>
          <cell r="D120" t="str">
            <v>B</v>
          </cell>
          <cell r="E120">
            <v>11739.712411949686</v>
          </cell>
          <cell r="F120">
            <v>31526.453923851481</v>
          </cell>
          <cell r="G120">
            <v>1.5779874213836478</v>
          </cell>
        </row>
        <row r="121">
          <cell r="A121">
            <v>6103</v>
          </cell>
          <cell r="B121" t="str">
            <v>Printing And Reproduction Plant</v>
          </cell>
          <cell r="C121" t="str">
            <v>SF</v>
          </cell>
          <cell r="D121" t="str">
            <v>B</v>
          </cell>
          <cell r="E121">
            <v>7282.0792073170724</v>
          </cell>
          <cell r="F121">
            <v>103212.96121951222</v>
          </cell>
          <cell r="G121">
            <v>1.5609756097560976</v>
          </cell>
        </row>
        <row r="122">
          <cell r="A122">
            <v>6104</v>
          </cell>
          <cell r="B122" t="str">
            <v>Automated Data Processing Center</v>
          </cell>
          <cell r="C122" t="str">
            <v>SF</v>
          </cell>
          <cell r="D122" t="str">
            <v>B</v>
          </cell>
          <cell r="E122">
            <v>9566.3176179245274</v>
          </cell>
          <cell r="F122">
            <v>84129.256643026019</v>
          </cell>
          <cell r="G122">
            <v>1.7216981132075471</v>
          </cell>
        </row>
        <row r="123">
          <cell r="A123">
            <v>6105</v>
          </cell>
          <cell r="B123" t="str">
            <v>Pentagon</v>
          </cell>
          <cell r="C123" t="str">
            <v>SF</v>
          </cell>
          <cell r="D123" t="str">
            <v>B</v>
          </cell>
          <cell r="E123">
            <v>211542.3666666667</v>
          </cell>
          <cell r="F123">
            <v>5921460.0666666673</v>
          </cell>
          <cell r="G123">
            <v>6.6666666666666666E-2</v>
          </cell>
        </row>
        <row r="124">
          <cell r="A124">
            <v>6106</v>
          </cell>
          <cell r="B124" t="str">
            <v>Remote Delivery Facility</v>
          </cell>
          <cell r="C124" t="str">
            <v>SF</v>
          </cell>
          <cell r="D124" t="str">
            <v>B</v>
          </cell>
          <cell r="E124">
            <v>28197.72</v>
          </cell>
          <cell r="F124">
            <v>197385</v>
          </cell>
          <cell r="G124">
            <v>0</v>
          </cell>
        </row>
        <row r="125">
          <cell r="A125">
            <v>6200</v>
          </cell>
          <cell r="B125" t="str">
            <v>Administrative Structure, Underground</v>
          </cell>
          <cell r="C125" t="str">
            <v>SF</v>
          </cell>
          <cell r="D125" t="str">
            <v>B</v>
          </cell>
          <cell r="E125">
            <v>13130.803921568628</v>
          </cell>
          <cell r="F125">
            <v>16284.960784313727</v>
          </cell>
          <cell r="G125">
            <v>1.2352941176470589</v>
          </cell>
        </row>
        <row r="126">
          <cell r="A126">
            <v>6201</v>
          </cell>
          <cell r="B126" t="str">
            <v>Alternate Joint Communications Center</v>
          </cell>
          <cell r="C126" t="str">
            <v>SF</v>
          </cell>
          <cell r="D126" t="str">
            <v>B</v>
          </cell>
          <cell r="E126">
            <v>5226.5857142857139</v>
          </cell>
          <cell r="F126">
            <v>366377</v>
          </cell>
          <cell r="G126">
            <v>3</v>
          </cell>
        </row>
        <row r="127">
          <cell r="A127">
            <v>7110</v>
          </cell>
          <cell r="B127" t="str">
            <v>Family Housing Dwelling</v>
          </cell>
          <cell r="C127" t="str">
            <v>SF</v>
          </cell>
          <cell r="D127" t="str">
            <v>B</v>
          </cell>
          <cell r="E127">
            <v>3991.6316515706912</v>
          </cell>
          <cell r="F127">
            <v>4169.5902496482322</v>
          </cell>
          <cell r="G127">
            <v>1.552715144282</v>
          </cell>
        </row>
        <row r="128">
          <cell r="A128">
            <v>7120</v>
          </cell>
          <cell r="B128" t="str">
            <v>Family Housing Trailer/Relocatable</v>
          </cell>
          <cell r="C128" t="str">
            <v>SF</v>
          </cell>
          <cell r="D128" t="str">
            <v>B</v>
          </cell>
          <cell r="E128">
            <v>709.1265822784809</v>
          </cell>
          <cell r="F128">
            <v>709.1265822784809</v>
          </cell>
          <cell r="G128">
            <v>1</v>
          </cell>
        </row>
        <row r="129">
          <cell r="A129">
            <v>7141</v>
          </cell>
          <cell r="B129" t="str">
            <v>Family Housing Garage</v>
          </cell>
          <cell r="C129" t="str">
            <v>SF</v>
          </cell>
          <cell r="D129" t="str">
            <v>B</v>
          </cell>
          <cell r="E129">
            <v>693.34128933751799</v>
          </cell>
          <cell r="F129">
            <v>3416.1840721561966</v>
          </cell>
          <cell r="G129">
            <v>1.5728221223174146</v>
          </cell>
        </row>
        <row r="130">
          <cell r="A130">
            <v>7142</v>
          </cell>
          <cell r="B130" t="str">
            <v>Family Housing Storage Facility</v>
          </cell>
          <cell r="C130" t="str">
            <v>SF</v>
          </cell>
          <cell r="D130" t="str">
            <v>B</v>
          </cell>
          <cell r="E130">
            <v>284.02639111556448</v>
          </cell>
          <cell r="F130">
            <v>2040.2921867691277</v>
          </cell>
          <cell r="G130">
            <v>1.1922177688710756</v>
          </cell>
        </row>
        <row r="131">
          <cell r="A131">
            <v>7143</v>
          </cell>
          <cell r="B131" t="str">
            <v>Miscellaneous Family Housing Support Facility</v>
          </cell>
          <cell r="C131" t="str">
            <v>SF</v>
          </cell>
          <cell r="D131" t="str">
            <v>B</v>
          </cell>
          <cell r="E131">
            <v>639.89437428243389</v>
          </cell>
          <cell r="F131">
            <v>1944.0710447761194</v>
          </cell>
          <cell r="G131">
            <v>1.0593187906620742</v>
          </cell>
        </row>
        <row r="132">
          <cell r="A132">
            <v>7145</v>
          </cell>
          <cell r="B132" t="str">
            <v>Trailer Court Support Facility</v>
          </cell>
          <cell r="C132" t="str">
            <v>SF</v>
          </cell>
          <cell r="D132" t="str">
            <v>B</v>
          </cell>
          <cell r="E132">
            <v>2500.75</v>
          </cell>
          <cell r="F132">
            <v>4018</v>
          </cell>
          <cell r="G132">
            <v>1</v>
          </cell>
        </row>
        <row r="133">
          <cell r="A133">
            <v>7210</v>
          </cell>
          <cell r="B133" t="str">
            <v>Enlisted Unaccompanied Personnel Housing</v>
          </cell>
          <cell r="C133" t="str">
            <v>SF</v>
          </cell>
          <cell r="D133" t="str">
            <v>B</v>
          </cell>
          <cell r="E133">
            <v>25532.757595332019</v>
          </cell>
          <cell r="F133">
            <v>30021.24728858177</v>
          </cell>
          <cell r="G133">
            <v>2.723372781065089</v>
          </cell>
        </row>
        <row r="134">
          <cell r="A134">
            <v>7212</v>
          </cell>
          <cell r="B134" t="str">
            <v>Enlisted Unaccompanied Personnel Housing, Transient</v>
          </cell>
          <cell r="C134" t="str">
            <v>SF</v>
          </cell>
          <cell r="D134" t="str">
            <v>B</v>
          </cell>
          <cell r="E134">
            <v>10090.915816513761</v>
          </cell>
          <cell r="F134">
            <v>12203.012440366972</v>
          </cell>
          <cell r="G134">
            <v>1.581651376146789</v>
          </cell>
        </row>
        <row r="135">
          <cell r="A135">
            <v>7213</v>
          </cell>
          <cell r="B135" t="str">
            <v>Student Barracks</v>
          </cell>
          <cell r="C135" t="str">
            <v>SF</v>
          </cell>
          <cell r="D135" t="str">
            <v>B</v>
          </cell>
          <cell r="E135">
            <v>34664.115957446811</v>
          </cell>
          <cell r="F135">
            <v>40615.848533772652</v>
          </cell>
          <cell r="G135">
            <v>2.2978723404255321</v>
          </cell>
        </row>
        <row r="136">
          <cell r="A136">
            <v>7214</v>
          </cell>
          <cell r="B136" t="str">
            <v>Annual Training/Mobilization Barracks</v>
          </cell>
          <cell r="C136" t="str">
            <v>SF</v>
          </cell>
          <cell r="D136" t="str">
            <v>B</v>
          </cell>
          <cell r="E136">
            <v>6004.5863529876278</v>
          </cell>
          <cell r="F136">
            <v>6859.3083017127801</v>
          </cell>
          <cell r="G136">
            <v>1.34</v>
          </cell>
        </row>
        <row r="137">
          <cell r="A137">
            <v>7215</v>
          </cell>
          <cell r="B137" t="str">
            <v>Unaccompanied Housing for Wounded Warriors</v>
          </cell>
          <cell r="C137" t="str">
            <v>SF</v>
          </cell>
          <cell r="D137" t="str">
            <v>B</v>
          </cell>
          <cell r="E137">
            <v>51854.36363636364</v>
          </cell>
          <cell r="F137">
            <v>75204.363636363632</v>
          </cell>
          <cell r="G137">
            <v>3.0181818181818181</v>
          </cell>
        </row>
        <row r="138">
          <cell r="A138">
            <v>7218</v>
          </cell>
          <cell r="B138" t="str">
            <v>Recruit/Trainee Barracks</v>
          </cell>
          <cell r="C138" t="str">
            <v>SF</v>
          </cell>
          <cell r="D138" t="str">
            <v>B</v>
          </cell>
          <cell r="E138">
            <v>59694.790248226949</v>
          </cell>
          <cell r="F138">
            <v>77347.477010676157</v>
          </cell>
          <cell r="G138">
            <v>2.4751773049645389</v>
          </cell>
        </row>
        <row r="139">
          <cell r="A139">
            <v>7220</v>
          </cell>
          <cell r="B139" t="str">
            <v>Dining Facility</v>
          </cell>
          <cell r="C139" t="str">
            <v>SF</v>
          </cell>
          <cell r="D139" t="str">
            <v>B</v>
          </cell>
          <cell r="E139">
            <v>9966.1324054982815</v>
          </cell>
          <cell r="F139">
            <v>22930.998754305398</v>
          </cell>
          <cell r="G139">
            <v>1.2468499427262314</v>
          </cell>
        </row>
        <row r="140">
          <cell r="A140">
            <v>7231</v>
          </cell>
          <cell r="B140" t="str">
            <v>Miscellaneous UPH Support Building</v>
          </cell>
          <cell r="C140" t="str">
            <v>SF</v>
          </cell>
          <cell r="D140" t="str">
            <v>B</v>
          </cell>
          <cell r="E140">
            <v>3036.0377160493827</v>
          </cell>
          <cell r="F140">
            <v>14050.450618046973</v>
          </cell>
          <cell r="G140">
            <v>1.4074074074074074</v>
          </cell>
        </row>
        <row r="141">
          <cell r="A141">
            <v>7232</v>
          </cell>
          <cell r="B141" t="str">
            <v>Unaccompanied Personnel Housing Garage</v>
          </cell>
          <cell r="C141" t="str">
            <v>SF</v>
          </cell>
          <cell r="D141" t="str">
            <v>B</v>
          </cell>
          <cell r="E141">
            <v>1807.3636363636363</v>
          </cell>
          <cell r="F141">
            <v>9537.9619771863127</v>
          </cell>
          <cell r="G141">
            <v>1.5378787878787878</v>
          </cell>
        </row>
        <row r="142">
          <cell r="A142">
            <v>7233</v>
          </cell>
          <cell r="B142" t="str">
            <v>Dining Support Facility</v>
          </cell>
          <cell r="C142" t="str">
            <v>SF</v>
          </cell>
          <cell r="D142" t="str">
            <v>B</v>
          </cell>
          <cell r="E142">
            <v>5752.9743589743593</v>
          </cell>
          <cell r="F142">
            <v>134432.7948717949</v>
          </cell>
          <cell r="G142">
            <v>1.8974358974358974</v>
          </cell>
        </row>
        <row r="143">
          <cell r="A143">
            <v>7234</v>
          </cell>
          <cell r="B143" t="str">
            <v>Latrine/Shower Facility</v>
          </cell>
          <cell r="C143" t="str">
            <v>SF</v>
          </cell>
          <cell r="D143" t="str">
            <v>B</v>
          </cell>
          <cell r="E143">
            <v>638.01536670547148</v>
          </cell>
          <cell r="F143">
            <v>1186.0852153667054</v>
          </cell>
          <cell r="G143">
            <v>0.9732246798603027</v>
          </cell>
        </row>
        <row r="144">
          <cell r="A144">
            <v>7240</v>
          </cell>
          <cell r="B144" t="str">
            <v>Officer Unaccompanied Personnel Housing</v>
          </cell>
          <cell r="C144" t="str">
            <v>SF</v>
          </cell>
          <cell r="D144" t="str">
            <v>B</v>
          </cell>
          <cell r="E144">
            <v>7068.8563055339046</v>
          </cell>
          <cell r="F144">
            <v>10411.577396726423</v>
          </cell>
          <cell r="G144">
            <v>1.5806703039750585</v>
          </cell>
        </row>
        <row r="145">
          <cell r="A145">
            <v>7241</v>
          </cell>
          <cell r="B145" t="str">
            <v>Officer UPH, Transient</v>
          </cell>
          <cell r="C145" t="str">
            <v>SF</v>
          </cell>
          <cell r="D145" t="str">
            <v>B</v>
          </cell>
          <cell r="E145">
            <v>9662.6883710737766</v>
          </cell>
          <cell r="F145">
            <v>11399.136873630387</v>
          </cell>
          <cell r="G145">
            <v>1.4627737226277373</v>
          </cell>
        </row>
        <row r="146">
          <cell r="A146">
            <v>7242</v>
          </cell>
          <cell r="B146" t="str">
            <v>Service Academy Unaccompanied Personnel Housing</v>
          </cell>
          <cell r="C146" t="str">
            <v>SF</v>
          </cell>
          <cell r="D146" t="str">
            <v>B</v>
          </cell>
          <cell r="E146">
            <v>131732.84615384616</v>
          </cell>
          <cell r="F146">
            <v>145759.92307692309</v>
          </cell>
          <cell r="G146">
            <v>3.3076923076923075</v>
          </cell>
        </row>
        <row r="147">
          <cell r="A147">
            <v>7250</v>
          </cell>
          <cell r="B147" t="str">
            <v>Emergency Unaccompanied Personnel Housing</v>
          </cell>
          <cell r="C147" t="str">
            <v>SF</v>
          </cell>
          <cell r="D147" t="str">
            <v>B</v>
          </cell>
          <cell r="E147">
            <v>2423.6760272589599</v>
          </cell>
          <cell r="F147">
            <v>2779.4171125694093</v>
          </cell>
          <cell r="G147">
            <v>1.0772337203432609</v>
          </cell>
        </row>
        <row r="148">
          <cell r="A148">
            <v>7311</v>
          </cell>
          <cell r="B148" t="str">
            <v>Fire Station Facility</v>
          </cell>
          <cell r="C148" t="str">
            <v>SF</v>
          </cell>
          <cell r="D148" t="str">
            <v>B</v>
          </cell>
          <cell r="E148">
            <v>7764.3755965292839</v>
          </cell>
          <cell r="F148">
            <v>12545.13572826087</v>
          </cell>
          <cell r="G148">
            <v>1.2613882863340564</v>
          </cell>
        </row>
        <row r="149">
          <cell r="A149">
            <v>7312</v>
          </cell>
          <cell r="B149" t="str">
            <v>Prison/Confinement Facility</v>
          </cell>
          <cell r="C149" t="str">
            <v>SF</v>
          </cell>
          <cell r="D149" t="str">
            <v>B</v>
          </cell>
          <cell r="E149">
            <v>15467.730994152047</v>
          </cell>
          <cell r="F149">
            <v>19369.005847953216</v>
          </cell>
          <cell r="G149">
            <v>1.2807017543859649</v>
          </cell>
        </row>
        <row r="150">
          <cell r="A150">
            <v>7313</v>
          </cell>
          <cell r="B150" t="str">
            <v>Police Station</v>
          </cell>
          <cell r="C150" t="str">
            <v>SF</v>
          </cell>
          <cell r="D150" t="str">
            <v>B</v>
          </cell>
          <cell r="E150">
            <v>5632.1782928348912</v>
          </cell>
          <cell r="F150">
            <v>21820.149694513719</v>
          </cell>
          <cell r="G150">
            <v>1.3395638629283488</v>
          </cell>
        </row>
        <row r="151">
          <cell r="A151">
            <v>7314</v>
          </cell>
          <cell r="B151" t="str">
            <v>Drug and Alcohol Abuse Center</v>
          </cell>
          <cell r="C151" t="str">
            <v>SF</v>
          </cell>
          <cell r="D151" t="str">
            <v>B</v>
          </cell>
          <cell r="E151">
            <v>5037.826</v>
          </cell>
          <cell r="F151">
            <v>26368.480933333332</v>
          </cell>
          <cell r="G151">
            <v>1.72</v>
          </cell>
        </row>
        <row r="152">
          <cell r="A152">
            <v>7321</v>
          </cell>
          <cell r="B152" t="str">
            <v>Bread/Pastry Kitchen</v>
          </cell>
          <cell r="C152" t="str">
            <v>SF</v>
          </cell>
          <cell r="D152" t="str">
            <v>B</v>
          </cell>
          <cell r="E152">
            <v>56815.6</v>
          </cell>
          <cell r="F152">
            <v>106123.6</v>
          </cell>
          <cell r="G152">
            <v>1.2</v>
          </cell>
        </row>
        <row r="153">
          <cell r="A153">
            <v>7322</v>
          </cell>
          <cell r="B153" t="str">
            <v>Ice/Dairy Products Plant</v>
          </cell>
          <cell r="C153" t="str">
            <v>SF</v>
          </cell>
          <cell r="D153" t="str">
            <v>B</v>
          </cell>
          <cell r="E153">
            <v>1753.958333333333</v>
          </cell>
          <cell r="F153">
            <v>2374.2222222222217</v>
          </cell>
          <cell r="G153">
            <v>1.1805555555555556</v>
          </cell>
        </row>
        <row r="154">
          <cell r="A154">
            <v>7323</v>
          </cell>
          <cell r="B154" t="str">
            <v>Greenhouse</v>
          </cell>
          <cell r="C154" t="str">
            <v>SF</v>
          </cell>
          <cell r="D154" t="str">
            <v>B</v>
          </cell>
          <cell r="E154">
            <v>1958</v>
          </cell>
          <cell r="F154">
            <v>2345.090909090909</v>
          </cell>
          <cell r="G154">
            <v>1.0454545454545454</v>
          </cell>
        </row>
        <row r="155">
          <cell r="A155">
            <v>7331</v>
          </cell>
          <cell r="B155" t="str">
            <v>Exchange Eating Facility</v>
          </cell>
          <cell r="C155" t="str">
            <v>SF</v>
          </cell>
          <cell r="D155" t="str">
            <v>B</v>
          </cell>
          <cell r="E155">
            <v>3956.146492890995</v>
          </cell>
          <cell r="F155">
            <v>75748.226244075835</v>
          </cell>
          <cell r="G155">
            <v>1.7014218009478672</v>
          </cell>
        </row>
        <row r="156">
          <cell r="A156">
            <v>7332</v>
          </cell>
          <cell r="B156" t="str">
            <v>Non-Exchange Eating Facility</v>
          </cell>
          <cell r="C156" t="str">
            <v>SF</v>
          </cell>
          <cell r="D156" t="str">
            <v>B</v>
          </cell>
          <cell r="E156">
            <v>3468.6653179723498</v>
          </cell>
          <cell r="F156">
            <v>83314.360110599082</v>
          </cell>
          <cell r="G156">
            <v>1.5170506912442396</v>
          </cell>
        </row>
        <row r="157">
          <cell r="A157">
            <v>7333</v>
          </cell>
          <cell r="B157" t="str">
            <v>Open Mess and Club Facility</v>
          </cell>
          <cell r="C157" t="str">
            <v>SF</v>
          </cell>
          <cell r="D157" t="str">
            <v>B</v>
          </cell>
          <cell r="E157">
            <v>13804.31469953775</v>
          </cell>
          <cell r="F157">
            <v>31591.435654853623</v>
          </cell>
          <cell r="G157">
            <v>1.3605546995377504</v>
          </cell>
        </row>
        <row r="158">
          <cell r="A158">
            <v>7340</v>
          </cell>
          <cell r="B158" t="str">
            <v>Thrift Shop</v>
          </cell>
          <cell r="C158" t="str">
            <v>SF</v>
          </cell>
          <cell r="D158" t="str">
            <v>B</v>
          </cell>
          <cell r="E158">
            <v>5032.6823111111107</v>
          </cell>
          <cell r="F158">
            <v>18604.057422222224</v>
          </cell>
          <cell r="G158">
            <v>1.191111111111111</v>
          </cell>
        </row>
        <row r="159">
          <cell r="A159">
            <v>7341</v>
          </cell>
          <cell r="B159" t="str">
            <v>Bus Station</v>
          </cell>
          <cell r="C159" t="str">
            <v>SF</v>
          </cell>
          <cell r="D159" t="str">
            <v>B</v>
          </cell>
          <cell r="E159">
            <v>739.49152542372872</v>
          </cell>
          <cell r="F159">
            <v>4045.9322033898297</v>
          </cell>
          <cell r="G159">
            <v>1.0847457627118644</v>
          </cell>
        </row>
        <row r="160">
          <cell r="A160">
            <v>7342</v>
          </cell>
          <cell r="B160" t="str">
            <v>Laundry/Dry Cleaning Facility</v>
          </cell>
          <cell r="C160" t="str">
            <v>SF</v>
          </cell>
          <cell r="D160" t="str">
            <v>B</v>
          </cell>
          <cell r="E160">
            <v>4601.4177536231882</v>
          </cell>
          <cell r="F160">
            <v>26270.32421818182</v>
          </cell>
          <cell r="G160">
            <v>1.2789855072463767</v>
          </cell>
        </row>
        <row r="161">
          <cell r="A161">
            <v>7343</v>
          </cell>
          <cell r="B161" t="str">
            <v>Clothing Sales Store</v>
          </cell>
          <cell r="C161" t="str">
            <v>SF</v>
          </cell>
          <cell r="D161" t="str">
            <v>B</v>
          </cell>
          <cell r="E161">
            <v>8066.9180327868853</v>
          </cell>
          <cell r="F161">
            <v>59294.34426229509</v>
          </cell>
          <cell r="G161">
            <v>1.2704918032786885</v>
          </cell>
        </row>
        <row r="162">
          <cell r="A162">
            <v>7344</v>
          </cell>
          <cell r="B162" t="str">
            <v>Postal Facility</v>
          </cell>
          <cell r="C162" t="str">
            <v>SF</v>
          </cell>
          <cell r="D162" t="str">
            <v>B</v>
          </cell>
          <cell r="E162">
            <v>3938.3759397163117</v>
          </cell>
          <cell r="F162">
            <v>35308.750372340422</v>
          </cell>
          <cell r="G162">
            <v>1.4734042553191489</v>
          </cell>
        </row>
        <row r="163">
          <cell r="A163">
            <v>7345</v>
          </cell>
          <cell r="B163" t="str">
            <v>Exchange Automobile Facility</v>
          </cell>
          <cell r="C163" t="str">
            <v>SF</v>
          </cell>
          <cell r="D163" t="str">
            <v>B</v>
          </cell>
          <cell r="E163">
            <v>4136.5584657534246</v>
          </cell>
          <cell r="F163">
            <v>7841.9754520547931</v>
          </cell>
          <cell r="G163">
            <v>1.0383561643835617</v>
          </cell>
        </row>
        <row r="164">
          <cell r="A164">
            <v>7346</v>
          </cell>
          <cell r="B164" t="str">
            <v>Exchange Sales Facility</v>
          </cell>
          <cell r="C164" t="str">
            <v>SF</v>
          </cell>
          <cell r="D164" t="str">
            <v>B</v>
          </cell>
          <cell r="E164">
            <v>13116.146050458716</v>
          </cell>
          <cell r="F164">
            <v>56674.272967889905</v>
          </cell>
          <cell r="G164">
            <v>1.4564220183486238</v>
          </cell>
        </row>
        <row r="165">
          <cell r="A165">
            <v>7347</v>
          </cell>
          <cell r="B165" t="str">
            <v>Bank and Credit Union</v>
          </cell>
          <cell r="C165" t="str">
            <v>SF</v>
          </cell>
          <cell r="D165" t="str">
            <v>B</v>
          </cell>
          <cell r="E165">
            <v>2164.0363214285712</v>
          </cell>
          <cell r="F165">
            <v>79213.668916666662</v>
          </cell>
          <cell r="G165">
            <v>1.6714285714285715</v>
          </cell>
        </row>
        <row r="166">
          <cell r="A166">
            <v>7348</v>
          </cell>
          <cell r="B166" t="str">
            <v>Car Wash Facility</v>
          </cell>
          <cell r="C166" t="str">
            <v>SF</v>
          </cell>
          <cell r="D166" t="str">
            <v>B</v>
          </cell>
          <cell r="E166">
            <v>1780.1856707317072</v>
          </cell>
          <cell r="F166">
            <v>2950.7512269938647</v>
          </cell>
          <cell r="G166">
            <v>1.0122699386503067</v>
          </cell>
        </row>
        <row r="167">
          <cell r="A167">
            <v>7349</v>
          </cell>
          <cell r="B167" t="str">
            <v>Commissary</v>
          </cell>
          <cell r="C167" t="str">
            <v>SF</v>
          </cell>
          <cell r="D167" t="str">
            <v>B</v>
          </cell>
          <cell r="E167">
            <v>56762.967201365187</v>
          </cell>
          <cell r="F167">
            <v>72896.865529010232</v>
          </cell>
          <cell r="G167">
            <v>1.2184300341296928</v>
          </cell>
        </row>
        <row r="168">
          <cell r="A168">
            <v>7351</v>
          </cell>
          <cell r="B168" t="str">
            <v>Education Center</v>
          </cell>
          <cell r="C168" t="str">
            <v>SF</v>
          </cell>
          <cell r="D168" t="str">
            <v>B</v>
          </cell>
          <cell r="E168">
            <v>11366.487574370709</v>
          </cell>
          <cell r="F168">
            <v>37703.1</v>
          </cell>
          <cell r="G168">
            <v>1.665903890160183</v>
          </cell>
        </row>
        <row r="169">
          <cell r="A169">
            <v>7352</v>
          </cell>
          <cell r="B169" t="str">
            <v>Dependent School</v>
          </cell>
          <cell r="C169" t="str">
            <v>SF</v>
          </cell>
          <cell r="D169" t="str">
            <v>B</v>
          </cell>
          <cell r="E169">
            <v>23750.069828519856</v>
          </cell>
          <cell r="F169">
            <v>25936.331561371844</v>
          </cell>
          <cell r="G169">
            <v>1.2824909747292419</v>
          </cell>
        </row>
        <row r="170">
          <cell r="A170">
            <v>7353</v>
          </cell>
          <cell r="B170" t="str">
            <v>Dependent School Support Facility</v>
          </cell>
          <cell r="C170" t="str">
            <v>SF</v>
          </cell>
          <cell r="D170" t="str">
            <v>B</v>
          </cell>
          <cell r="E170">
            <v>6674.0749999999998</v>
          </cell>
          <cell r="F170">
            <v>19169.987499999999</v>
          </cell>
          <cell r="G170">
            <v>1.35</v>
          </cell>
        </row>
        <row r="171">
          <cell r="A171">
            <v>7361</v>
          </cell>
          <cell r="B171" t="str">
            <v>Chapel Facility</v>
          </cell>
          <cell r="C171" t="str">
            <v>SF</v>
          </cell>
          <cell r="D171" t="str">
            <v>B</v>
          </cell>
          <cell r="E171">
            <v>8195.4767217630852</v>
          </cell>
          <cell r="F171">
            <v>21615.800991735538</v>
          </cell>
          <cell r="G171">
            <v>1.3829201101928374</v>
          </cell>
        </row>
        <row r="172">
          <cell r="A172">
            <v>7362</v>
          </cell>
          <cell r="B172" t="str">
            <v>Religious Education Facility</v>
          </cell>
          <cell r="C172" t="str">
            <v>SF</v>
          </cell>
          <cell r="D172" t="str">
            <v>B</v>
          </cell>
          <cell r="E172">
            <v>5491.1050228310496</v>
          </cell>
          <cell r="F172">
            <v>20856.409589041097</v>
          </cell>
          <cell r="G172">
            <v>1.3424657534246576</v>
          </cell>
        </row>
        <row r="173">
          <cell r="A173">
            <v>7371</v>
          </cell>
          <cell r="B173" t="str">
            <v>Nursery and Child Care Facility</v>
          </cell>
          <cell r="C173" t="str">
            <v>SF</v>
          </cell>
          <cell r="D173" t="str">
            <v>B</v>
          </cell>
          <cell r="E173">
            <v>12167.394215246639</v>
          </cell>
          <cell r="F173">
            <v>14422.694539325843</v>
          </cell>
          <cell r="G173">
            <v>1.0728699551569507</v>
          </cell>
        </row>
        <row r="174">
          <cell r="A174">
            <v>7372</v>
          </cell>
          <cell r="B174" t="str">
            <v>Family Service Center</v>
          </cell>
          <cell r="C174" t="str">
            <v>SF</v>
          </cell>
          <cell r="D174" t="str">
            <v>B</v>
          </cell>
          <cell r="E174">
            <v>6917.9611934900549</v>
          </cell>
          <cell r="F174">
            <v>65446.865615942028</v>
          </cell>
          <cell r="G174">
            <v>1.4755877034358047</v>
          </cell>
        </row>
        <row r="175">
          <cell r="A175">
            <v>7380</v>
          </cell>
          <cell r="B175" t="str">
            <v>Homeless Support Facility</v>
          </cell>
          <cell r="C175" t="str">
            <v>SF</v>
          </cell>
          <cell r="D175" t="str">
            <v>B</v>
          </cell>
          <cell r="E175">
            <v>6924.4615384615381</v>
          </cell>
          <cell r="F175">
            <v>33800</v>
          </cell>
          <cell r="G175">
            <v>1.9230769230769231</v>
          </cell>
        </row>
        <row r="176">
          <cell r="A176">
            <v>7381</v>
          </cell>
          <cell r="B176" t="str">
            <v>Forestry Guard Station</v>
          </cell>
          <cell r="C176" t="str">
            <v>SF</v>
          </cell>
          <cell r="D176" t="str">
            <v>B</v>
          </cell>
          <cell r="E176">
            <v>542.66666666666663</v>
          </cell>
          <cell r="F176">
            <v>536.72142857142853</v>
          </cell>
          <cell r="G176">
            <v>0.95238095238095233</v>
          </cell>
        </row>
        <row r="177">
          <cell r="A177">
            <v>7382</v>
          </cell>
          <cell r="B177" t="str">
            <v>Locker Room</v>
          </cell>
          <cell r="C177" t="str">
            <v>SF</v>
          </cell>
          <cell r="D177" t="str">
            <v>B</v>
          </cell>
          <cell r="E177">
            <v>3541.1898809523809</v>
          </cell>
          <cell r="F177">
            <v>17399.881726190477</v>
          </cell>
          <cell r="G177">
            <v>1.1309523809523809</v>
          </cell>
        </row>
        <row r="178">
          <cell r="A178">
            <v>7383</v>
          </cell>
          <cell r="B178" t="str">
            <v>Air Raid/Fallout/Storm Shelter</v>
          </cell>
          <cell r="C178" t="str">
            <v>SF</v>
          </cell>
          <cell r="D178" t="str">
            <v>B</v>
          </cell>
          <cell r="E178">
            <v>2613.1260229132567</v>
          </cell>
          <cell r="F178">
            <v>3381.0049099836333</v>
          </cell>
          <cell r="G178">
            <v>0.92798690671031092</v>
          </cell>
        </row>
        <row r="179">
          <cell r="A179">
            <v>7385</v>
          </cell>
          <cell r="B179" t="str">
            <v>Public Restroom/Shower</v>
          </cell>
          <cell r="C179" t="str">
            <v>SF</v>
          </cell>
          <cell r="D179" t="str">
            <v>B</v>
          </cell>
          <cell r="E179">
            <v>632.0787964338781</v>
          </cell>
          <cell r="F179">
            <v>974.03716567544598</v>
          </cell>
          <cell r="G179">
            <v>1.007641689662492</v>
          </cell>
        </row>
        <row r="180">
          <cell r="A180">
            <v>7386</v>
          </cell>
          <cell r="B180" t="str">
            <v>Ceremonial Hall</v>
          </cell>
          <cell r="C180" t="str">
            <v>SF</v>
          </cell>
          <cell r="D180" t="str">
            <v>B</v>
          </cell>
          <cell r="E180">
            <v>26768.705882352944</v>
          </cell>
          <cell r="F180">
            <v>71818.411764705888</v>
          </cell>
          <cell r="G180">
            <v>2.3529411764705883</v>
          </cell>
        </row>
        <row r="181">
          <cell r="A181">
            <v>7387</v>
          </cell>
          <cell r="B181" t="str">
            <v>Exchange Support Facility</v>
          </cell>
          <cell r="C181" t="str">
            <v>SF</v>
          </cell>
          <cell r="D181" t="str">
            <v>B</v>
          </cell>
          <cell r="E181">
            <v>6135.4490438247012</v>
          </cell>
          <cell r="F181">
            <v>56208.951075697216</v>
          </cell>
          <cell r="G181">
            <v>1.2908366533864541</v>
          </cell>
        </row>
        <row r="182">
          <cell r="A182">
            <v>7388</v>
          </cell>
          <cell r="B182" t="str">
            <v>Exchange Warehouse</v>
          </cell>
          <cell r="C182" t="str">
            <v>SF</v>
          </cell>
          <cell r="D182" t="str">
            <v>B</v>
          </cell>
          <cell r="E182">
            <v>22482.306140724948</v>
          </cell>
          <cell r="F182">
            <v>53464.188635394465</v>
          </cell>
          <cell r="G182">
            <v>1.2217484008528785</v>
          </cell>
        </row>
        <row r="183">
          <cell r="A183">
            <v>7389</v>
          </cell>
          <cell r="B183" t="str">
            <v>Private Vehicle Inspection Facility</v>
          </cell>
          <cell r="C183" t="str">
            <v>SF</v>
          </cell>
          <cell r="D183" t="str">
            <v>B</v>
          </cell>
          <cell r="E183">
            <v>2471.0942857142859</v>
          </cell>
          <cell r="F183">
            <v>9245.8085714285717</v>
          </cell>
          <cell r="G183">
            <v>1.0571428571428572</v>
          </cell>
        </row>
        <row r="184">
          <cell r="A184">
            <v>7411</v>
          </cell>
          <cell r="B184" t="str">
            <v>Hobby And Craft Center</v>
          </cell>
          <cell r="C184" t="str">
            <v>SF</v>
          </cell>
          <cell r="D184" t="str">
            <v>B</v>
          </cell>
          <cell r="E184">
            <v>7501.1206030150752</v>
          </cell>
          <cell r="F184">
            <v>16976.090452261309</v>
          </cell>
          <cell r="G184">
            <v>1.2110552763819096</v>
          </cell>
        </row>
        <row r="185">
          <cell r="A185">
            <v>7412</v>
          </cell>
          <cell r="B185" t="str">
            <v>Automobile Craft Center</v>
          </cell>
          <cell r="C185" t="str">
            <v>SF</v>
          </cell>
          <cell r="D185" t="str">
            <v>B</v>
          </cell>
          <cell r="E185">
            <v>6541.878216374268</v>
          </cell>
          <cell r="F185">
            <v>9178.2400294117651</v>
          </cell>
          <cell r="G185">
            <v>1.0233918128654971</v>
          </cell>
        </row>
        <row r="186">
          <cell r="A186">
            <v>7413</v>
          </cell>
          <cell r="B186" t="str">
            <v>Golf Club House and Sales</v>
          </cell>
          <cell r="C186" t="str">
            <v>SF</v>
          </cell>
          <cell r="D186" t="str">
            <v>B</v>
          </cell>
          <cell r="E186">
            <v>4092.3310439560441</v>
          </cell>
          <cell r="F186">
            <v>5044.125</v>
          </cell>
          <cell r="G186">
            <v>1.0425824175824177</v>
          </cell>
        </row>
        <row r="187">
          <cell r="A187">
            <v>7414</v>
          </cell>
          <cell r="B187" t="str">
            <v>Club and Organization Building</v>
          </cell>
          <cell r="C187" t="str">
            <v>SF</v>
          </cell>
          <cell r="D187" t="str">
            <v>B</v>
          </cell>
          <cell r="E187">
            <v>3038.2895674300248</v>
          </cell>
          <cell r="F187">
            <v>10439.961125319694</v>
          </cell>
          <cell r="G187">
            <v>1.3460559796437659</v>
          </cell>
        </row>
        <row r="188">
          <cell r="A188">
            <v>7415</v>
          </cell>
          <cell r="B188" t="str">
            <v>Bowling Center</v>
          </cell>
          <cell r="C188" t="str">
            <v>SF</v>
          </cell>
          <cell r="D188" t="str">
            <v>B</v>
          </cell>
          <cell r="E188">
            <v>17348.189291044775</v>
          </cell>
          <cell r="F188">
            <v>30036.13854477612</v>
          </cell>
          <cell r="G188">
            <v>1.1231343283582089</v>
          </cell>
        </row>
        <row r="189">
          <cell r="A189">
            <v>7416</v>
          </cell>
          <cell r="B189" t="str">
            <v>Library, General Use</v>
          </cell>
          <cell r="C189" t="str">
            <v>SF</v>
          </cell>
          <cell r="D189" t="str">
            <v>B</v>
          </cell>
          <cell r="E189">
            <v>9936.0381003584225</v>
          </cell>
          <cell r="F189">
            <v>46326.066272401433</v>
          </cell>
          <cell r="G189">
            <v>1.5734767025089607</v>
          </cell>
        </row>
        <row r="190">
          <cell r="A190">
            <v>7417</v>
          </cell>
          <cell r="B190" t="str">
            <v>Recreation Center</v>
          </cell>
          <cell r="C190" t="str">
            <v>SF</v>
          </cell>
          <cell r="D190" t="str">
            <v>B</v>
          </cell>
          <cell r="E190">
            <v>7307.5093572778824</v>
          </cell>
          <cell r="F190">
            <v>19314.917205047321</v>
          </cell>
          <cell r="G190">
            <v>1.2791430371770636</v>
          </cell>
        </row>
        <row r="191">
          <cell r="A191">
            <v>7418</v>
          </cell>
          <cell r="B191" t="str">
            <v>Indoor Skating Rink</v>
          </cell>
          <cell r="C191" t="str">
            <v>SF</v>
          </cell>
          <cell r="D191" t="str">
            <v>B</v>
          </cell>
          <cell r="E191">
            <v>19893.625</v>
          </cell>
          <cell r="F191">
            <v>31610.375</v>
          </cell>
          <cell r="G191">
            <v>1.125</v>
          </cell>
        </row>
        <row r="192">
          <cell r="A192">
            <v>7421</v>
          </cell>
          <cell r="B192" t="str">
            <v>Indoor Physical Fitness Facility</v>
          </cell>
          <cell r="C192" t="str">
            <v>SF</v>
          </cell>
          <cell r="D192" t="str">
            <v>B</v>
          </cell>
          <cell r="E192">
            <v>15104.02443712969</v>
          </cell>
          <cell r="F192">
            <v>37115.495780118501</v>
          </cell>
          <cell r="G192">
            <v>1.4180381830151416</v>
          </cell>
        </row>
        <row r="193">
          <cell r="A193">
            <v>7422</v>
          </cell>
          <cell r="B193" t="str">
            <v>Indoor Swimming Pool</v>
          </cell>
          <cell r="C193" t="str">
            <v>SF</v>
          </cell>
          <cell r="D193" t="str">
            <v>B</v>
          </cell>
          <cell r="E193">
            <v>11745.928676470588</v>
          </cell>
          <cell r="F193">
            <v>54765.829779411768</v>
          </cell>
          <cell r="G193">
            <v>1.4926470588235294</v>
          </cell>
        </row>
        <row r="194">
          <cell r="A194">
            <v>7431</v>
          </cell>
          <cell r="B194" t="str">
            <v>Auditorium and Theater Facility</v>
          </cell>
          <cell r="C194" t="str">
            <v>SF</v>
          </cell>
          <cell r="D194" t="str">
            <v>B</v>
          </cell>
          <cell r="E194">
            <v>9319.3478456014363</v>
          </cell>
          <cell r="F194">
            <v>67714.467073608626</v>
          </cell>
          <cell r="G194">
            <v>1.9676840215439857</v>
          </cell>
        </row>
        <row r="195">
          <cell r="A195">
            <v>7440</v>
          </cell>
          <cell r="B195" t="str">
            <v>Community Activities/ Conference Center</v>
          </cell>
          <cell r="C195" t="str">
            <v>SF</v>
          </cell>
          <cell r="D195" t="str">
            <v>B</v>
          </cell>
          <cell r="E195">
            <v>9188.4744137931029</v>
          </cell>
          <cell r="F195">
            <v>20153.552862068966</v>
          </cell>
          <cell r="G195">
            <v>1.2655172413793103</v>
          </cell>
        </row>
        <row r="196">
          <cell r="A196">
            <v>7441</v>
          </cell>
          <cell r="B196" t="str">
            <v>Transient  Lodging</v>
          </cell>
          <cell r="C196" t="str">
            <v>SF</v>
          </cell>
          <cell r="D196" t="str">
            <v>B</v>
          </cell>
          <cell r="E196">
            <v>14152.836117647061</v>
          </cell>
          <cell r="F196">
            <v>17208.411350249207</v>
          </cell>
          <cell r="G196">
            <v>1.7972850678733032</v>
          </cell>
        </row>
        <row r="197">
          <cell r="A197">
            <v>7442</v>
          </cell>
          <cell r="B197" t="str">
            <v>Recreational Lodging</v>
          </cell>
          <cell r="C197" t="str">
            <v>SF</v>
          </cell>
          <cell r="D197" t="str">
            <v>B</v>
          </cell>
          <cell r="E197">
            <v>2677.9384337349397</v>
          </cell>
          <cell r="F197">
            <v>2783.9054597336713</v>
          </cell>
          <cell r="G197">
            <v>1.1934051997463537</v>
          </cell>
        </row>
        <row r="198">
          <cell r="A198">
            <v>7443</v>
          </cell>
          <cell r="B198" t="str">
            <v>Transient And Recreational Lodging Support Facility</v>
          </cell>
          <cell r="C198" t="str">
            <v>SF</v>
          </cell>
          <cell r="D198" t="str">
            <v>B</v>
          </cell>
          <cell r="E198">
            <v>1791.422032786885</v>
          </cell>
          <cell r="F198">
            <v>3015.2843278688524</v>
          </cell>
          <cell r="G198">
            <v>1.0524590163934426</v>
          </cell>
        </row>
        <row r="199">
          <cell r="A199">
            <v>7444</v>
          </cell>
          <cell r="B199" t="str">
            <v>Stable</v>
          </cell>
          <cell r="C199" t="str">
            <v>SF</v>
          </cell>
          <cell r="D199" t="str">
            <v>B</v>
          </cell>
          <cell r="E199">
            <v>2242.9655263157892</v>
          </cell>
          <cell r="F199">
            <v>2191.7807387862795</v>
          </cell>
          <cell r="G199">
            <v>0.86315789473684212</v>
          </cell>
        </row>
        <row r="200">
          <cell r="A200">
            <v>7445</v>
          </cell>
          <cell r="B200" t="str">
            <v>Boathouse</v>
          </cell>
          <cell r="C200" t="str">
            <v>SF</v>
          </cell>
          <cell r="D200" t="str">
            <v>B</v>
          </cell>
          <cell r="E200">
            <v>2778.3695364238411</v>
          </cell>
          <cell r="F200">
            <v>3085.5218543046353</v>
          </cell>
          <cell r="G200">
            <v>1.0662251655629138</v>
          </cell>
        </row>
        <row r="201">
          <cell r="A201">
            <v>7446</v>
          </cell>
          <cell r="B201" t="str">
            <v>MWR Sales and Rental Building</v>
          </cell>
          <cell r="C201" t="str">
            <v>SF</v>
          </cell>
          <cell r="D201" t="str">
            <v>B</v>
          </cell>
          <cell r="E201">
            <v>3092.2162467866319</v>
          </cell>
          <cell r="F201">
            <v>18648.730231362468</v>
          </cell>
          <cell r="G201">
            <v>1.2802056555269923</v>
          </cell>
        </row>
        <row r="202">
          <cell r="A202">
            <v>7447</v>
          </cell>
          <cell r="B202" t="str">
            <v>MWR Storage Building</v>
          </cell>
          <cell r="C202" t="str">
            <v>SF</v>
          </cell>
          <cell r="D202" t="str">
            <v>B</v>
          </cell>
          <cell r="E202">
            <v>3922.8336520076477</v>
          </cell>
          <cell r="F202">
            <v>13663.588910133845</v>
          </cell>
          <cell r="G202">
            <v>1.0535372848948374</v>
          </cell>
        </row>
        <row r="203">
          <cell r="A203">
            <v>7448</v>
          </cell>
          <cell r="B203" t="str">
            <v>Recreational Support Building</v>
          </cell>
          <cell r="C203" t="str">
            <v>SF</v>
          </cell>
          <cell r="D203" t="str">
            <v>B</v>
          </cell>
          <cell r="E203">
            <v>1156.0753481012657</v>
          </cell>
          <cell r="F203">
            <v>3104.6043423137876</v>
          </cell>
          <cell r="G203">
            <v>1.106012658227848</v>
          </cell>
        </row>
        <row r="204">
          <cell r="A204">
            <v>7449</v>
          </cell>
          <cell r="B204" t="str">
            <v>Retail Kennel</v>
          </cell>
          <cell r="C204" t="str">
            <v>SF</v>
          </cell>
          <cell r="D204" t="str">
            <v>B</v>
          </cell>
          <cell r="E204">
            <v>2277.1785714285711</v>
          </cell>
          <cell r="F204">
            <v>2546.8928571428569</v>
          </cell>
          <cell r="G204">
            <v>0.9642857142857143</v>
          </cell>
        </row>
        <row r="205">
          <cell r="A205">
            <v>7601</v>
          </cell>
          <cell r="B205" t="str">
            <v>Museum</v>
          </cell>
          <cell r="C205" t="str">
            <v>SF</v>
          </cell>
          <cell r="D205" t="str">
            <v>B</v>
          </cell>
          <cell r="E205">
            <v>14776.042534653465</v>
          </cell>
          <cell r="F205">
            <v>20911.569702380952</v>
          </cell>
          <cell r="G205">
            <v>1.3306930693069308</v>
          </cell>
        </row>
        <row r="206">
          <cell r="A206">
            <v>8910</v>
          </cell>
          <cell r="B206" t="str">
            <v>Utility Building</v>
          </cell>
          <cell r="C206" t="str">
            <v>SF</v>
          </cell>
          <cell r="D206" t="str">
            <v>B</v>
          </cell>
          <cell r="E206">
            <v>1369.2606915858778</v>
          </cell>
          <cell r="F206">
            <v>7739.6535666476411</v>
          </cell>
          <cell r="G206">
            <v>1.1194981595728135</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C Calculations FY18v20"/>
      <sheetName val="MILCON Inflation Table"/>
      <sheetName val="Mil Cost Premiums for RUCs"/>
      <sheetName val="M&amp;S Selection Business Rule"/>
      <sheetName val="2018 Elevator Rule"/>
      <sheetName val="Overhead Crane Business Rule"/>
      <sheetName val="Fire Sprinkler Business Rule"/>
      <sheetName val="Loading Dock Footnote"/>
      <sheetName val="Range Business Rules"/>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8.bin"/><Relationship Id="rId5" Type="http://schemas.openxmlformats.org/officeDocument/2006/relationships/image" Target="../media/image6.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CF93E-9A46-49DA-8ECD-68C7216D2BF2}">
  <sheetPr>
    <pageSetUpPr fitToPage="1"/>
  </sheetPr>
  <dimension ref="A1:W4889"/>
  <sheetViews>
    <sheetView tabSelected="1" zoomScale="85" zoomScaleNormal="85" workbookViewId="0">
      <selection activeCell="M11" sqref="M11"/>
    </sheetView>
  </sheetViews>
  <sheetFormatPr defaultRowHeight="30" customHeight="1" x14ac:dyDescent="0.25"/>
  <cols>
    <col min="1" max="1" width="13.7109375" style="712" customWidth="1"/>
    <col min="2" max="3" width="9.140625" style="128"/>
    <col min="4" max="4" width="38.28515625" style="128" customWidth="1"/>
    <col min="5" max="5" width="19.140625" style="128" customWidth="1"/>
    <col min="6" max="6" width="14.85546875" style="128" customWidth="1"/>
    <col min="7" max="7" width="16" style="128" customWidth="1"/>
    <col min="8" max="8" width="17" style="128" customWidth="1"/>
    <col min="9" max="9" width="13.5703125" style="128" customWidth="1"/>
    <col min="10" max="10" width="17.5703125" style="128" customWidth="1"/>
    <col min="11" max="11" width="19.28515625" style="128" customWidth="1"/>
    <col min="12" max="12" width="9.140625" style="128" customWidth="1"/>
    <col min="13" max="13" width="15.85546875" style="25" customWidth="1"/>
    <col min="14" max="14" width="15.28515625" style="25" customWidth="1"/>
    <col min="15" max="15" width="49.42578125" style="27" customWidth="1"/>
    <col min="16" max="16" width="11.7109375" customWidth="1"/>
    <col min="18" max="19" width="12.140625" customWidth="1"/>
    <col min="20" max="20" width="11.7109375" customWidth="1"/>
  </cols>
  <sheetData>
    <row r="1" spans="1:23" ht="30" customHeight="1" x14ac:dyDescent="0.25">
      <c r="A1" s="26" t="s">
        <v>283</v>
      </c>
      <c r="B1" s="26"/>
      <c r="C1" s="26"/>
      <c r="D1" s="26"/>
      <c r="E1" s="26"/>
      <c r="F1" s="26"/>
      <c r="G1" s="26"/>
      <c r="H1" s="26"/>
      <c r="I1" s="26"/>
      <c r="J1" s="26"/>
      <c r="K1" s="26"/>
      <c r="L1" s="26"/>
    </row>
    <row r="2" spans="1:23" ht="30" customHeight="1" x14ac:dyDescent="0.25">
      <c r="A2" s="28" t="s">
        <v>284</v>
      </c>
      <c r="B2" s="28"/>
      <c r="C2" s="28"/>
      <c r="D2" s="28"/>
      <c r="E2" s="28"/>
      <c r="F2" s="28"/>
      <c r="G2" s="28"/>
      <c r="H2" s="28"/>
      <c r="I2" s="28"/>
      <c r="J2" s="28"/>
      <c r="K2" s="28"/>
      <c r="L2" s="28"/>
    </row>
    <row r="3" spans="1:23" ht="30" customHeight="1" x14ac:dyDescent="0.25">
      <c r="A3" s="28" t="s">
        <v>285</v>
      </c>
      <c r="B3" s="28"/>
      <c r="C3" s="28"/>
      <c r="D3" s="28"/>
      <c r="E3" s="28"/>
      <c r="F3" s="28"/>
      <c r="G3" s="28"/>
      <c r="H3" s="28"/>
      <c r="I3" s="28"/>
      <c r="J3" s="28"/>
      <c r="K3" s="28"/>
      <c r="L3" s="28"/>
    </row>
    <row r="4" spans="1:23" ht="30" customHeight="1" x14ac:dyDescent="0.25">
      <c r="A4" s="214" t="s">
        <v>286</v>
      </c>
      <c r="B4" s="214"/>
      <c r="C4" s="214"/>
      <c r="D4" s="214"/>
      <c r="E4" s="214"/>
      <c r="F4" s="214"/>
      <c r="G4" s="214"/>
      <c r="H4" s="214"/>
      <c r="I4" s="214"/>
      <c r="J4" s="214"/>
      <c r="K4" s="214"/>
      <c r="L4" s="214"/>
    </row>
    <row r="5" spans="1:23" ht="30" customHeight="1" x14ac:dyDescent="0.25">
      <c r="A5" s="29" t="s">
        <v>287</v>
      </c>
      <c r="B5" s="29"/>
      <c r="C5" s="29"/>
      <c r="D5" s="29"/>
      <c r="E5" s="29"/>
      <c r="F5" s="29"/>
      <c r="G5" s="29"/>
      <c r="H5" s="29"/>
      <c r="I5" s="29"/>
      <c r="J5" s="29"/>
      <c r="K5" s="29"/>
      <c r="L5" s="29"/>
    </row>
    <row r="6" spans="1:23" s="41" customFormat="1" ht="30" customHeight="1" x14ac:dyDescent="0.25">
      <c r="A6" s="30" t="s">
        <v>288</v>
      </c>
      <c r="B6" s="31">
        <v>1111</v>
      </c>
      <c r="C6" s="32" t="s">
        <v>289</v>
      </c>
      <c r="D6" s="33"/>
      <c r="E6" s="34" t="s">
        <v>290</v>
      </c>
      <c r="F6" s="35">
        <v>333333</v>
      </c>
      <c r="G6" s="36" t="s">
        <v>291</v>
      </c>
      <c r="H6" s="37" t="s">
        <v>3</v>
      </c>
      <c r="I6" s="36" t="s">
        <v>292</v>
      </c>
      <c r="J6" s="38" t="s">
        <v>293</v>
      </c>
      <c r="K6" s="39"/>
      <c r="L6" s="40"/>
      <c r="M6" s="341"/>
      <c r="N6" s="341"/>
      <c r="O6" s="42"/>
      <c r="P6" s="43"/>
      <c r="Q6" s="43"/>
      <c r="R6" s="43"/>
      <c r="S6" s="43"/>
      <c r="T6" s="43"/>
      <c r="U6" s="43"/>
    </row>
    <row r="7" spans="1:23" s="49" customFormat="1" ht="30" customHeight="1" x14ac:dyDescent="0.25">
      <c r="A7" s="44" t="s">
        <v>294</v>
      </c>
      <c r="B7" s="45" t="s">
        <v>295</v>
      </c>
      <c r="C7" s="45"/>
      <c r="D7" s="45"/>
      <c r="E7" s="44" t="s">
        <v>296</v>
      </c>
      <c r="F7" s="46" t="s">
        <v>2</v>
      </c>
      <c r="G7" s="46" t="s">
        <v>297</v>
      </c>
      <c r="H7" s="46" t="s">
        <v>298</v>
      </c>
      <c r="I7" s="46" t="s">
        <v>299</v>
      </c>
      <c r="J7" s="47" t="s">
        <v>300</v>
      </c>
      <c r="K7" s="47" t="s">
        <v>301</v>
      </c>
      <c r="L7" s="48"/>
      <c r="M7" s="502"/>
      <c r="N7" s="502"/>
      <c r="O7" s="27"/>
      <c r="P7" s="50"/>
      <c r="Q7" s="50"/>
      <c r="R7" s="50"/>
      <c r="S7" s="50"/>
      <c r="T7" s="50"/>
      <c r="U7" s="50"/>
    </row>
    <row r="8" spans="1:23" ht="30" customHeight="1" x14ac:dyDescent="0.25">
      <c r="A8" s="51" t="s">
        <v>302</v>
      </c>
      <c r="B8" s="52" t="s">
        <v>303</v>
      </c>
      <c r="C8" s="52"/>
      <c r="D8" s="52"/>
      <c r="E8" s="53">
        <v>1227603.21</v>
      </c>
      <c r="F8" s="51" t="s">
        <v>3</v>
      </c>
      <c r="G8" s="1990">
        <v>0</v>
      </c>
      <c r="H8" s="1990">
        <v>587287.06000000006</v>
      </c>
      <c r="I8" s="1990">
        <v>346424.73</v>
      </c>
      <c r="J8" s="1989">
        <v>520388.37</v>
      </c>
      <c r="K8" s="1990">
        <v>933711.78</v>
      </c>
      <c r="L8" s="56" t="s">
        <v>3</v>
      </c>
      <c r="M8" s="1884"/>
      <c r="N8" s="671"/>
      <c r="O8" s="58"/>
      <c r="P8" s="59"/>
      <c r="R8" s="43"/>
      <c r="S8" s="43"/>
      <c r="T8" s="43"/>
      <c r="U8" s="60"/>
      <c r="V8" s="60"/>
      <c r="W8" s="43"/>
    </row>
    <row r="9" spans="1:23" ht="30" customHeight="1" x14ac:dyDescent="0.25">
      <c r="A9" s="51" t="s">
        <v>305</v>
      </c>
      <c r="B9" s="52" t="s">
        <v>306</v>
      </c>
      <c r="C9" s="52"/>
      <c r="D9" s="52"/>
      <c r="E9" s="53">
        <v>166847.19</v>
      </c>
      <c r="F9" s="51" t="s">
        <v>307</v>
      </c>
      <c r="G9" s="1990">
        <v>10510833.699999999</v>
      </c>
      <c r="H9" s="1990">
        <v>2116657.66</v>
      </c>
      <c r="I9" s="1990">
        <v>1059022.23</v>
      </c>
      <c r="J9" s="1989">
        <v>8590701.8200000003</v>
      </c>
      <c r="K9" s="1990">
        <v>13686513.58</v>
      </c>
      <c r="L9" s="56" t="s">
        <v>307</v>
      </c>
      <c r="M9" s="1884"/>
      <c r="N9" s="671"/>
      <c r="O9" s="58"/>
      <c r="P9" s="59"/>
      <c r="R9" s="43"/>
      <c r="S9" s="43"/>
      <c r="T9" s="43"/>
      <c r="U9" s="60"/>
      <c r="V9" s="60"/>
      <c r="W9" s="43"/>
    </row>
    <row r="10" spans="1:23" ht="30" customHeight="1" x14ac:dyDescent="0.25">
      <c r="A10" s="51" t="s">
        <v>308</v>
      </c>
      <c r="B10" s="52" t="s">
        <v>309</v>
      </c>
      <c r="C10" s="52"/>
      <c r="D10" s="52"/>
      <c r="E10" s="53">
        <v>340560.89</v>
      </c>
      <c r="F10" s="51" t="s">
        <v>307</v>
      </c>
      <c r="G10" s="1990">
        <v>12303504.140000001</v>
      </c>
      <c r="H10" s="1990">
        <v>0</v>
      </c>
      <c r="I10" s="1990">
        <v>0</v>
      </c>
      <c r="J10" s="1989">
        <v>8004802.6299999999</v>
      </c>
      <c r="K10" s="1990">
        <v>12303504.140000001</v>
      </c>
      <c r="L10" s="56" t="s">
        <v>307</v>
      </c>
      <c r="M10" s="1884"/>
      <c r="N10" s="671"/>
      <c r="O10" s="58"/>
      <c r="P10" s="59"/>
      <c r="R10" s="43"/>
      <c r="S10" s="43"/>
      <c r="T10" s="43"/>
      <c r="U10" s="60"/>
      <c r="V10" s="60"/>
      <c r="W10" s="43"/>
    </row>
    <row r="11" spans="1:23" ht="30" customHeight="1" x14ac:dyDescent="0.25">
      <c r="A11" s="51" t="s">
        <v>310</v>
      </c>
      <c r="B11" s="52" t="s">
        <v>311</v>
      </c>
      <c r="C11" s="52"/>
      <c r="D11" s="52"/>
      <c r="E11" s="53">
        <v>333334</v>
      </c>
      <c r="F11" s="51" t="s">
        <v>3</v>
      </c>
      <c r="G11" s="1990">
        <v>1113923.57</v>
      </c>
      <c r="H11" s="1990">
        <v>167038.19</v>
      </c>
      <c r="I11" s="1990">
        <v>109128.3</v>
      </c>
      <c r="J11" s="1989">
        <v>879636.78</v>
      </c>
      <c r="K11" s="1990">
        <v>1390090.06</v>
      </c>
      <c r="L11" s="56" t="s">
        <v>3</v>
      </c>
      <c r="M11" s="1884"/>
      <c r="N11" s="671"/>
      <c r="R11" s="43"/>
      <c r="S11" s="43"/>
      <c r="T11" s="43"/>
      <c r="U11" s="60"/>
      <c r="V11" s="60"/>
      <c r="W11" s="43"/>
    </row>
    <row r="12" spans="1:23" ht="30" customHeight="1" x14ac:dyDescent="0.25">
      <c r="A12" s="51" t="s">
        <v>312</v>
      </c>
      <c r="B12" s="52" t="s">
        <v>313</v>
      </c>
      <c r="C12" s="52"/>
      <c r="D12" s="52"/>
      <c r="E12" s="53">
        <v>333334</v>
      </c>
      <c r="F12" s="51" t="s">
        <v>3</v>
      </c>
      <c r="G12" s="1990">
        <v>5577395.25</v>
      </c>
      <c r="H12" s="1990">
        <v>11576771.939999999</v>
      </c>
      <c r="I12" s="1990">
        <v>3833682.47</v>
      </c>
      <c r="J12" s="1989">
        <v>11938089.77</v>
      </c>
      <c r="K12" s="1990">
        <v>20987849.66</v>
      </c>
      <c r="L12" s="56" t="s">
        <v>3</v>
      </c>
      <c r="M12" s="1884"/>
      <c r="N12" s="671"/>
      <c r="R12" s="43"/>
      <c r="S12" s="43"/>
      <c r="T12" s="43"/>
      <c r="U12" s="60"/>
      <c r="V12" s="60"/>
      <c r="W12" s="43"/>
    </row>
    <row r="13" spans="1:23" ht="30" customHeight="1" x14ac:dyDescent="0.25">
      <c r="A13" s="51" t="s">
        <v>314</v>
      </c>
      <c r="B13" s="52" t="s">
        <v>315</v>
      </c>
      <c r="C13" s="52"/>
      <c r="D13" s="52"/>
      <c r="E13" s="53">
        <v>333334</v>
      </c>
      <c r="F13" s="51" t="s">
        <v>3</v>
      </c>
      <c r="G13" s="1990">
        <v>0</v>
      </c>
      <c r="H13" s="1990">
        <v>1925928.98</v>
      </c>
      <c r="I13" s="1990">
        <v>2157615.16</v>
      </c>
      <c r="J13" s="1989">
        <v>2371183.69</v>
      </c>
      <c r="K13" s="1990">
        <v>4083544.14</v>
      </c>
      <c r="L13" s="56" t="s">
        <v>3</v>
      </c>
      <c r="M13" s="1884"/>
      <c r="N13" s="671"/>
      <c r="R13" s="43"/>
      <c r="S13" s="43"/>
      <c r="T13" s="43"/>
      <c r="U13" s="60"/>
      <c r="V13" s="60"/>
      <c r="W13" s="43"/>
    </row>
    <row r="14" spans="1:23" ht="30" customHeight="1" x14ac:dyDescent="0.25">
      <c r="A14" s="51" t="s">
        <v>316</v>
      </c>
      <c r="B14" s="52" t="s">
        <v>317</v>
      </c>
      <c r="C14" s="52"/>
      <c r="D14" s="52"/>
      <c r="E14" s="53">
        <v>166665.06</v>
      </c>
      <c r="F14" s="51" t="s">
        <v>307</v>
      </c>
      <c r="G14" s="1990">
        <v>28148822.059999999</v>
      </c>
      <c r="H14" s="1990">
        <v>0</v>
      </c>
      <c r="I14" s="1990">
        <v>0</v>
      </c>
      <c r="J14" s="1989">
        <v>18313950.440000001</v>
      </c>
      <c r="K14" s="1990">
        <v>28148822.059999999</v>
      </c>
      <c r="L14" s="56" t="s">
        <v>307</v>
      </c>
      <c r="M14" s="1884"/>
      <c r="N14" s="671"/>
      <c r="R14" s="43"/>
      <c r="S14" s="43"/>
      <c r="T14" s="43"/>
      <c r="U14" s="60"/>
      <c r="V14" s="60"/>
      <c r="W14" s="43"/>
    </row>
    <row r="15" spans="1:23" ht="30" customHeight="1" x14ac:dyDescent="0.25">
      <c r="A15" s="51" t="s">
        <v>318</v>
      </c>
      <c r="B15" s="52" t="s">
        <v>319</v>
      </c>
      <c r="C15" s="52"/>
      <c r="D15" s="52"/>
      <c r="E15" s="53">
        <v>166665.06</v>
      </c>
      <c r="F15" s="51" t="s">
        <v>307</v>
      </c>
      <c r="G15" s="1990">
        <v>0</v>
      </c>
      <c r="H15" s="1990">
        <v>148040.76999999999</v>
      </c>
      <c r="I15" s="1990">
        <v>258805.27</v>
      </c>
      <c r="J15" s="1989">
        <v>242744.14</v>
      </c>
      <c r="K15" s="1990">
        <v>406846.04</v>
      </c>
      <c r="L15" s="56" t="s">
        <v>307</v>
      </c>
      <c r="M15" s="1884"/>
      <c r="N15" s="671"/>
      <c r="R15" s="43"/>
      <c r="S15" s="43"/>
      <c r="T15" s="43"/>
      <c r="U15" s="60"/>
      <c r="V15" s="60"/>
      <c r="W15" s="43"/>
    </row>
    <row r="16" spans="1:23" ht="30" customHeight="1" x14ac:dyDescent="0.25">
      <c r="A16" s="51" t="s">
        <v>320</v>
      </c>
      <c r="B16" s="52" t="s">
        <v>321</v>
      </c>
      <c r="C16" s="52"/>
      <c r="D16" s="52"/>
      <c r="E16" s="53">
        <v>143333.62</v>
      </c>
      <c r="F16" s="51" t="s">
        <v>7</v>
      </c>
      <c r="G16" s="1990">
        <v>239493.57</v>
      </c>
      <c r="H16" s="1990">
        <v>705479.28</v>
      </c>
      <c r="I16" s="1990">
        <v>0</v>
      </c>
      <c r="J16" s="1989">
        <v>510186.9</v>
      </c>
      <c r="K16" s="1990">
        <v>944972.85</v>
      </c>
      <c r="L16" s="56" t="s">
        <v>7</v>
      </c>
      <c r="M16" s="1884"/>
      <c r="N16" s="671"/>
      <c r="R16" s="43"/>
      <c r="S16" s="43"/>
      <c r="T16" s="43"/>
      <c r="U16" s="60"/>
      <c r="V16" s="60"/>
      <c r="W16" s="43"/>
    </row>
    <row r="17" spans="1:23" ht="30" customHeight="1" x14ac:dyDescent="0.25">
      <c r="A17" s="51" t="s">
        <v>322</v>
      </c>
      <c r="B17" s="52" t="s">
        <v>323</v>
      </c>
      <c r="C17" s="52"/>
      <c r="D17" s="52"/>
      <c r="E17" s="53">
        <v>140000.28</v>
      </c>
      <c r="F17" s="51" t="s">
        <v>7</v>
      </c>
      <c r="G17" s="1990">
        <v>233923.95</v>
      </c>
      <c r="H17" s="1990">
        <v>689072.79</v>
      </c>
      <c r="I17" s="1990">
        <v>0</v>
      </c>
      <c r="J17" s="1989">
        <v>498322.09</v>
      </c>
      <c r="K17" s="1990">
        <v>922996.74</v>
      </c>
      <c r="L17" s="56" t="s">
        <v>7</v>
      </c>
      <c r="M17" s="1884"/>
      <c r="N17" s="671"/>
      <c r="R17" s="43"/>
      <c r="S17" s="43"/>
      <c r="T17" s="43"/>
      <c r="U17" s="60"/>
      <c r="V17" s="60"/>
      <c r="W17" s="43"/>
    </row>
    <row r="18" spans="1:23" ht="30" customHeight="1" x14ac:dyDescent="0.25">
      <c r="A18" s="51" t="s">
        <v>324</v>
      </c>
      <c r="B18" s="52" t="s">
        <v>325</v>
      </c>
      <c r="C18" s="52"/>
      <c r="D18" s="52"/>
      <c r="E18" s="53">
        <v>33333.4</v>
      </c>
      <c r="F18" s="51" t="s">
        <v>7</v>
      </c>
      <c r="G18" s="1990">
        <v>107879.99</v>
      </c>
      <c r="H18" s="1990">
        <v>535657.81000000006</v>
      </c>
      <c r="I18" s="1990">
        <v>0</v>
      </c>
      <c r="J18" s="1989">
        <v>339254.48</v>
      </c>
      <c r="K18" s="1990">
        <v>643537.80000000005</v>
      </c>
      <c r="L18" s="56" t="s">
        <v>7</v>
      </c>
      <c r="M18" s="1884"/>
      <c r="N18" s="671"/>
      <c r="R18" s="43"/>
      <c r="S18" s="43"/>
      <c r="T18" s="43"/>
      <c r="U18" s="60"/>
      <c r="V18" s="60"/>
      <c r="W18" s="43"/>
    </row>
    <row r="19" spans="1:23" ht="30" customHeight="1" x14ac:dyDescent="0.25">
      <c r="A19" s="51" t="s">
        <v>326</v>
      </c>
      <c r="B19" s="52" t="s">
        <v>327</v>
      </c>
      <c r="C19" s="52"/>
      <c r="D19" s="52"/>
      <c r="E19" s="53">
        <v>89310</v>
      </c>
      <c r="F19" s="51" t="s">
        <v>7</v>
      </c>
      <c r="G19" s="1990">
        <v>112928.14</v>
      </c>
      <c r="H19" s="1990">
        <v>30039.14</v>
      </c>
      <c r="I19" s="1990">
        <v>19135.55</v>
      </c>
      <c r="J19" s="1989">
        <v>101011.15</v>
      </c>
      <c r="K19" s="1990">
        <v>162102.84</v>
      </c>
      <c r="L19" s="56" t="s">
        <v>7</v>
      </c>
      <c r="M19" s="1884"/>
      <c r="N19" s="671"/>
      <c r="R19" s="43"/>
      <c r="S19" s="43"/>
      <c r="T19" s="43"/>
      <c r="U19" s="60"/>
      <c r="V19" s="60"/>
      <c r="W19" s="43"/>
    </row>
    <row r="20" spans="1:23" ht="30" customHeight="1" x14ac:dyDescent="0.25">
      <c r="A20" s="51" t="s">
        <v>328</v>
      </c>
      <c r="B20" s="52" t="s">
        <v>329</v>
      </c>
      <c r="C20" s="52"/>
      <c r="D20" s="52"/>
      <c r="E20" s="53">
        <v>60000</v>
      </c>
      <c r="F20" s="51" t="s">
        <v>7</v>
      </c>
      <c r="G20" s="1990">
        <v>75867.08</v>
      </c>
      <c r="H20" s="1990">
        <v>20180.82</v>
      </c>
      <c r="I20" s="1990">
        <v>12855.6</v>
      </c>
      <c r="J20" s="1989">
        <v>67861.03</v>
      </c>
      <c r="K20" s="1990">
        <v>108903.49</v>
      </c>
      <c r="L20" s="56" t="s">
        <v>7</v>
      </c>
      <c r="M20" s="1884"/>
      <c r="N20" s="671"/>
      <c r="R20" s="43"/>
      <c r="S20" s="43"/>
      <c r="T20" s="43"/>
      <c r="U20" s="60"/>
      <c r="V20" s="60"/>
      <c r="W20" s="43"/>
    </row>
    <row r="21" spans="1:23" ht="30" customHeight="1" x14ac:dyDescent="0.25">
      <c r="A21" s="51" t="s">
        <v>330</v>
      </c>
      <c r="B21" s="52" t="s">
        <v>331</v>
      </c>
      <c r="C21" s="52"/>
      <c r="D21" s="52"/>
      <c r="E21" s="53">
        <v>100800</v>
      </c>
      <c r="F21" s="51" t="s">
        <v>7</v>
      </c>
      <c r="G21" s="1990">
        <v>54624.29</v>
      </c>
      <c r="H21" s="1990">
        <v>48576.67</v>
      </c>
      <c r="I21" s="1990">
        <v>13169.15</v>
      </c>
      <c r="J21" s="1989">
        <v>68507.77</v>
      </c>
      <c r="K21" s="1990">
        <v>116370.11</v>
      </c>
      <c r="L21" s="56" t="s">
        <v>7</v>
      </c>
      <c r="M21" s="1884"/>
      <c r="N21" s="671"/>
      <c r="R21" s="43"/>
      <c r="S21" s="43"/>
      <c r="T21" s="43"/>
      <c r="U21" s="60"/>
      <c r="V21" s="60"/>
      <c r="W21" s="43"/>
    </row>
    <row r="22" spans="1:23" ht="30" customHeight="1" x14ac:dyDescent="0.25">
      <c r="A22" s="51" t="s">
        <v>332</v>
      </c>
      <c r="B22" s="52" t="s">
        <v>333</v>
      </c>
      <c r="C22" s="52"/>
      <c r="D22" s="52"/>
      <c r="E22" s="53">
        <v>34026</v>
      </c>
      <c r="F22" s="51" t="s">
        <v>7</v>
      </c>
      <c r="G22" s="1990">
        <v>18438.95</v>
      </c>
      <c r="H22" s="1990">
        <v>16397.52</v>
      </c>
      <c r="I22" s="1990">
        <v>4445.37</v>
      </c>
      <c r="J22" s="1989">
        <v>23125.45</v>
      </c>
      <c r="K22" s="1990">
        <v>39281.839999999997</v>
      </c>
      <c r="L22" s="56" t="s">
        <v>7</v>
      </c>
      <c r="M22" s="1884"/>
      <c r="N22" s="671"/>
      <c r="R22" s="43"/>
      <c r="S22" s="43"/>
      <c r="T22" s="43"/>
      <c r="U22" s="60"/>
      <c r="V22" s="60"/>
      <c r="W22" s="43"/>
    </row>
    <row r="23" spans="1:23" ht="30" customHeight="1" x14ac:dyDescent="0.25">
      <c r="A23" s="61"/>
      <c r="B23" s="62"/>
      <c r="C23" s="62"/>
      <c r="D23" s="62"/>
      <c r="E23" s="63"/>
      <c r="F23" s="63"/>
      <c r="G23" s="63"/>
      <c r="H23" s="64"/>
      <c r="I23" s="65" t="s">
        <v>334</v>
      </c>
      <c r="J23" s="66">
        <f>SUM(J8:J22)</f>
        <v>52469766.510000005</v>
      </c>
      <c r="K23" s="1988">
        <f>K8+K9+K10+K11+K12+K13+K14+K15+K16+K17+K18+K19+K20+K21+K22</f>
        <v>84879047.129999995</v>
      </c>
      <c r="L23" s="67" t="s">
        <v>335</v>
      </c>
      <c r="M23" s="1885"/>
      <c r="P23" s="43"/>
      <c r="Q23" s="43"/>
      <c r="R23" s="43"/>
      <c r="S23" s="60"/>
      <c r="T23" s="60"/>
      <c r="U23" s="43"/>
    </row>
    <row r="24" spans="1:23" ht="30" customHeight="1" thickBot="1" x14ac:dyDescent="0.3">
      <c r="A24" s="68"/>
      <c r="B24" s="69"/>
      <c r="C24" s="69"/>
      <c r="D24" s="69"/>
      <c r="E24" s="70"/>
      <c r="F24" s="70"/>
      <c r="G24" s="71"/>
      <c r="H24" s="72"/>
      <c r="I24" s="73"/>
      <c r="J24" s="74" t="s">
        <v>336</v>
      </c>
      <c r="K24" s="75">
        <f>+K23/F6</f>
        <v>254.63739602739602</v>
      </c>
      <c r="L24" s="74" t="s">
        <v>3</v>
      </c>
      <c r="P24" s="43"/>
      <c r="Q24" s="43"/>
      <c r="R24" s="43"/>
      <c r="S24" s="60"/>
      <c r="T24" s="60"/>
      <c r="U24" s="43"/>
    </row>
    <row r="25" spans="1:23" ht="30" customHeight="1" thickBot="1" x14ac:dyDescent="0.3">
      <c r="A25" s="76"/>
      <c r="B25" s="77"/>
      <c r="C25" s="77"/>
      <c r="D25" s="77"/>
      <c r="E25" s="77"/>
      <c r="F25" s="77"/>
      <c r="G25" s="77"/>
      <c r="H25" s="77"/>
      <c r="I25" s="77"/>
      <c r="J25" s="77"/>
      <c r="K25" s="77"/>
      <c r="L25" s="78"/>
      <c r="P25" s="43"/>
      <c r="Q25" s="43"/>
      <c r="R25" s="43"/>
      <c r="S25" s="60"/>
      <c r="T25" s="60"/>
      <c r="U25" s="43"/>
    </row>
    <row r="26" spans="1:23" ht="30" customHeight="1" x14ac:dyDescent="0.25">
      <c r="A26" s="79" t="s">
        <v>288</v>
      </c>
      <c r="B26" s="80">
        <v>1111</v>
      </c>
      <c r="C26" s="81" t="s">
        <v>337</v>
      </c>
      <c r="D26" s="82"/>
      <c r="E26" s="83" t="s">
        <v>290</v>
      </c>
      <c r="F26" s="84">
        <v>222222</v>
      </c>
      <c r="G26" s="85" t="s">
        <v>291</v>
      </c>
      <c r="H26" s="86" t="s">
        <v>3</v>
      </c>
      <c r="I26" s="85" t="s">
        <v>292</v>
      </c>
      <c r="J26" s="38" t="s">
        <v>293</v>
      </c>
      <c r="K26" s="39"/>
      <c r="L26" s="40"/>
      <c r="N26" s="43"/>
      <c r="P26" s="43"/>
      <c r="Q26" s="43"/>
      <c r="R26" s="43"/>
      <c r="S26" s="60"/>
      <c r="T26" s="60"/>
      <c r="U26" s="43"/>
    </row>
    <row r="27" spans="1:23" s="49" customFormat="1" ht="30" customHeight="1" x14ac:dyDescent="0.25">
      <c r="A27" s="44" t="s">
        <v>294</v>
      </c>
      <c r="B27" s="45" t="s">
        <v>295</v>
      </c>
      <c r="C27" s="45"/>
      <c r="D27" s="45"/>
      <c r="E27" s="44" t="s">
        <v>296</v>
      </c>
      <c r="F27" s="44" t="s">
        <v>2</v>
      </c>
      <c r="G27" s="46" t="s">
        <v>297</v>
      </c>
      <c r="H27" s="46" t="s">
        <v>298</v>
      </c>
      <c r="I27" s="46" t="s">
        <v>299</v>
      </c>
      <c r="J27" s="47" t="s">
        <v>300</v>
      </c>
      <c r="K27" s="47" t="s">
        <v>301</v>
      </c>
      <c r="L27" s="48"/>
      <c r="M27" s="502"/>
      <c r="N27" s="50"/>
      <c r="O27" s="27"/>
      <c r="P27" s="50"/>
      <c r="Q27" s="50"/>
      <c r="R27" s="50"/>
      <c r="S27" s="50"/>
      <c r="T27" s="50"/>
      <c r="U27" s="50"/>
    </row>
    <row r="28" spans="1:23" ht="30" customHeight="1" x14ac:dyDescent="0.25">
      <c r="A28" s="51" t="s">
        <v>302</v>
      </c>
      <c r="B28" s="52" t="s">
        <v>303</v>
      </c>
      <c r="C28" s="52"/>
      <c r="D28" s="52"/>
      <c r="E28" s="53">
        <v>927673.78</v>
      </c>
      <c r="F28" s="51" t="s">
        <v>3</v>
      </c>
      <c r="G28" s="66">
        <v>0</v>
      </c>
      <c r="H28" s="66">
        <v>1102892.8600000001</v>
      </c>
      <c r="I28" s="66">
        <v>381842.31</v>
      </c>
      <c r="J28" s="55">
        <v>802425.63</v>
      </c>
      <c r="K28" s="66">
        <v>1484735.16</v>
      </c>
      <c r="L28" s="56" t="s">
        <v>3</v>
      </c>
      <c r="M28" s="12"/>
      <c r="N28" s="671"/>
      <c r="R28" s="43"/>
      <c r="S28" s="43"/>
      <c r="T28" s="43"/>
      <c r="U28" s="60"/>
      <c r="V28" s="60"/>
      <c r="W28" s="43"/>
    </row>
    <row r="29" spans="1:23" ht="30" customHeight="1" x14ac:dyDescent="0.25">
      <c r="A29" s="51" t="s">
        <v>305</v>
      </c>
      <c r="B29" s="52" t="s">
        <v>306</v>
      </c>
      <c r="C29" s="52"/>
      <c r="D29" s="52"/>
      <c r="E29" s="53">
        <v>111231.12</v>
      </c>
      <c r="F29" s="51" t="s">
        <v>307</v>
      </c>
      <c r="G29" s="66">
        <v>7007201.0499999998</v>
      </c>
      <c r="H29" s="66">
        <v>1411100.79</v>
      </c>
      <c r="I29" s="66">
        <v>706012.66</v>
      </c>
      <c r="J29" s="55">
        <v>5727117.04</v>
      </c>
      <c r="K29" s="66">
        <v>9124314.5</v>
      </c>
      <c r="L29" s="56" t="s">
        <v>307</v>
      </c>
      <c r="M29" s="12"/>
      <c r="N29" s="671"/>
      <c r="R29" s="43"/>
      <c r="S29" s="43"/>
      <c r="T29" s="43"/>
      <c r="U29" s="60"/>
      <c r="V29" s="60"/>
      <c r="W29" s="43"/>
    </row>
    <row r="30" spans="1:23" ht="30" customHeight="1" x14ac:dyDescent="0.25">
      <c r="A30" s="51" t="s">
        <v>308</v>
      </c>
      <c r="B30" s="52" t="s">
        <v>309</v>
      </c>
      <c r="C30" s="52"/>
      <c r="D30" s="52"/>
      <c r="E30" s="53">
        <v>257354.66</v>
      </c>
      <c r="F30" s="51" t="s">
        <v>307</v>
      </c>
      <c r="G30" s="66">
        <v>9297497.8000000007</v>
      </c>
      <c r="H30" s="66">
        <v>0</v>
      </c>
      <c r="I30" s="66">
        <v>0</v>
      </c>
      <c r="J30" s="55">
        <v>6049060.0099999998</v>
      </c>
      <c r="K30" s="66">
        <v>9297497.8000000007</v>
      </c>
      <c r="L30" s="56" t="s">
        <v>307</v>
      </c>
      <c r="M30" s="12"/>
      <c r="N30" s="671"/>
      <c r="R30" s="43"/>
      <c r="S30" s="43"/>
      <c r="T30" s="43"/>
      <c r="U30" s="60"/>
      <c r="V30" s="60"/>
      <c r="W30" s="43"/>
    </row>
    <row r="31" spans="1:23" ht="30" customHeight="1" x14ac:dyDescent="0.25">
      <c r="A31" s="51" t="s">
        <v>310</v>
      </c>
      <c r="B31" s="52" t="s">
        <v>311</v>
      </c>
      <c r="C31" s="52"/>
      <c r="D31" s="52"/>
      <c r="E31" s="53">
        <v>222222</v>
      </c>
      <c r="F31" s="51" t="s">
        <v>3</v>
      </c>
      <c r="G31" s="66">
        <v>218268.15</v>
      </c>
      <c r="H31" s="66">
        <v>10461.36</v>
      </c>
      <c r="I31" s="66">
        <v>4850.13</v>
      </c>
      <c r="J31" s="55">
        <v>150418.20000000001</v>
      </c>
      <c r="K31" s="66">
        <v>233579.65</v>
      </c>
      <c r="L31" s="56" t="s">
        <v>3</v>
      </c>
      <c r="M31" s="12"/>
      <c r="N31" s="671"/>
      <c r="R31" s="43"/>
      <c r="S31" s="43"/>
      <c r="T31" s="43"/>
      <c r="U31" s="60"/>
      <c r="V31" s="60"/>
      <c r="W31" s="43"/>
    </row>
    <row r="32" spans="1:23" ht="30" customHeight="1" x14ac:dyDescent="0.25">
      <c r="A32" s="51" t="s">
        <v>338</v>
      </c>
      <c r="B32" s="52" t="s">
        <v>339</v>
      </c>
      <c r="C32" s="52"/>
      <c r="D32" s="52"/>
      <c r="E32" s="53">
        <v>177778</v>
      </c>
      <c r="F32" s="51" t="s">
        <v>3</v>
      </c>
      <c r="G32" s="66">
        <v>836920.59</v>
      </c>
      <c r="H32" s="66">
        <v>1022279.37</v>
      </c>
      <c r="I32" s="66">
        <v>43965.52</v>
      </c>
      <c r="J32" s="55">
        <v>1086616.33</v>
      </c>
      <c r="K32" s="66">
        <v>1903165.49</v>
      </c>
      <c r="L32" s="56" t="s">
        <v>3</v>
      </c>
      <c r="M32" s="12"/>
      <c r="N32" s="671"/>
      <c r="R32" s="43"/>
      <c r="S32" s="43"/>
      <c r="T32" s="43"/>
      <c r="U32" s="60"/>
      <c r="V32" s="60"/>
      <c r="W32" s="43"/>
    </row>
    <row r="33" spans="1:23" ht="30" customHeight="1" x14ac:dyDescent="0.25">
      <c r="A33" s="51" t="s">
        <v>312</v>
      </c>
      <c r="B33" s="52" t="s">
        <v>313</v>
      </c>
      <c r="C33" s="52"/>
      <c r="D33" s="52"/>
      <c r="E33" s="53">
        <v>44444</v>
      </c>
      <c r="F33" s="51" t="s">
        <v>3</v>
      </c>
      <c r="G33" s="66">
        <v>457847.2</v>
      </c>
      <c r="H33" s="66">
        <v>333026.24</v>
      </c>
      <c r="I33" s="66">
        <v>10069.06</v>
      </c>
      <c r="J33" s="55">
        <v>471714.31</v>
      </c>
      <c r="K33" s="66">
        <v>800942.5</v>
      </c>
      <c r="L33" s="56" t="s">
        <v>3</v>
      </c>
      <c r="M33" s="12"/>
      <c r="N33" s="671"/>
      <c r="R33" s="43"/>
      <c r="S33" s="43"/>
      <c r="T33" s="43"/>
      <c r="U33" s="60"/>
      <c r="V33" s="60"/>
      <c r="W33" s="43"/>
    </row>
    <row r="34" spans="1:23" ht="30" customHeight="1" x14ac:dyDescent="0.25">
      <c r="A34" s="51" t="s">
        <v>314</v>
      </c>
      <c r="B34" s="52" t="s">
        <v>315</v>
      </c>
      <c r="C34" s="52"/>
      <c r="D34" s="52"/>
      <c r="E34" s="53">
        <v>222222</v>
      </c>
      <c r="F34" s="51" t="s">
        <v>3</v>
      </c>
      <c r="G34" s="66">
        <v>0</v>
      </c>
      <c r="H34" s="66">
        <v>1283948.8</v>
      </c>
      <c r="I34" s="66">
        <v>1438405.79</v>
      </c>
      <c r="J34" s="55">
        <v>1580784.39</v>
      </c>
      <c r="K34" s="66">
        <v>2722354.59</v>
      </c>
      <c r="L34" s="56" t="s">
        <v>3</v>
      </c>
      <c r="M34" s="12"/>
      <c r="N34" s="671"/>
      <c r="R34" s="43"/>
      <c r="S34" s="43"/>
      <c r="T34" s="43"/>
      <c r="U34" s="60"/>
      <c r="V34" s="60"/>
      <c r="W34" s="43"/>
    </row>
    <row r="35" spans="1:23" ht="30" customHeight="1" x14ac:dyDescent="0.25">
      <c r="A35" s="51" t="s">
        <v>316</v>
      </c>
      <c r="B35" s="52" t="s">
        <v>317</v>
      </c>
      <c r="C35" s="52"/>
      <c r="D35" s="52"/>
      <c r="E35" s="53">
        <v>74998.77</v>
      </c>
      <c r="F35" s="51" t="s">
        <v>307</v>
      </c>
      <c r="G35" s="66">
        <v>11176662.619999999</v>
      </c>
      <c r="H35" s="66">
        <v>0</v>
      </c>
      <c r="I35" s="66">
        <v>0</v>
      </c>
      <c r="J35" s="55">
        <v>7271666.46</v>
      </c>
      <c r="K35" s="66">
        <v>11176662.619999999</v>
      </c>
      <c r="L35" s="56" t="s">
        <v>307</v>
      </c>
      <c r="M35" s="12"/>
      <c r="N35" s="671"/>
      <c r="R35" s="43"/>
      <c r="S35" s="43"/>
      <c r="T35" s="43"/>
      <c r="U35" s="60"/>
      <c r="V35" s="60"/>
      <c r="W35" s="43"/>
    </row>
    <row r="36" spans="1:23" ht="30" customHeight="1" x14ac:dyDescent="0.25">
      <c r="A36" s="51" t="s">
        <v>318</v>
      </c>
      <c r="B36" s="52" t="s">
        <v>319</v>
      </c>
      <c r="C36" s="52"/>
      <c r="D36" s="52"/>
      <c r="E36" s="53">
        <v>74998.77</v>
      </c>
      <c r="F36" s="51" t="s">
        <v>307</v>
      </c>
      <c r="G36" s="66">
        <v>0</v>
      </c>
      <c r="H36" s="66">
        <v>66617.899999999994</v>
      </c>
      <c r="I36" s="66">
        <v>116461.58</v>
      </c>
      <c r="J36" s="55">
        <v>109234.12</v>
      </c>
      <c r="K36" s="66">
        <v>183079.48</v>
      </c>
      <c r="L36" s="56" t="s">
        <v>307</v>
      </c>
      <c r="M36" s="12"/>
      <c r="N36" s="671"/>
      <c r="R36" s="43"/>
      <c r="S36" s="43"/>
      <c r="T36" s="43"/>
      <c r="U36" s="60"/>
      <c r="V36" s="60"/>
      <c r="W36" s="43"/>
    </row>
    <row r="37" spans="1:23" ht="30" customHeight="1" x14ac:dyDescent="0.25">
      <c r="A37" s="51" t="s">
        <v>320</v>
      </c>
      <c r="B37" s="52" t="s">
        <v>321</v>
      </c>
      <c r="C37" s="52"/>
      <c r="D37" s="52"/>
      <c r="E37" s="53">
        <v>95555.46</v>
      </c>
      <c r="F37" s="51" t="s">
        <v>7</v>
      </c>
      <c r="G37" s="66">
        <v>159661.9</v>
      </c>
      <c r="H37" s="66">
        <v>470318.11</v>
      </c>
      <c r="I37" s="66">
        <v>0</v>
      </c>
      <c r="J37" s="55">
        <v>340123.58</v>
      </c>
      <c r="K37" s="66">
        <v>629980.01</v>
      </c>
      <c r="L37" s="56" t="s">
        <v>7</v>
      </c>
      <c r="M37" s="12"/>
      <c r="N37" s="671"/>
      <c r="R37" s="43"/>
      <c r="S37" s="43"/>
      <c r="T37" s="43"/>
      <c r="U37" s="60"/>
      <c r="V37" s="60"/>
      <c r="W37" s="43"/>
    </row>
    <row r="38" spans="1:23" ht="30" customHeight="1" x14ac:dyDescent="0.25">
      <c r="A38" s="51" t="s">
        <v>322</v>
      </c>
      <c r="B38" s="52" t="s">
        <v>323</v>
      </c>
      <c r="C38" s="52"/>
      <c r="D38" s="52"/>
      <c r="E38" s="53">
        <v>104444.34</v>
      </c>
      <c r="F38" s="51" t="s">
        <v>7</v>
      </c>
      <c r="G38" s="66">
        <v>174514.17</v>
      </c>
      <c r="H38" s="66">
        <v>514068.63</v>
      </c>
      <c r="I38" s="66">
        <v>0</v>
      </c>
      <c r="J38" s="55">
        <v>371762.98</v>
      </c>
      <c r="K38" s="66">
        <v>688582.8</v>
      </c>
      <c r="L38" s="56" t="s">
        <v>7</v>
      </c>
      <c r="M38" s="12"/>
      <c r="N38" s="671"/>
      <c r="R38" s="43"/>
      <c r="S38" s="43"/>
      <c r="T38" s="43"/>
      <c r="U38" s="60"/>
      <c r="V38" s="60"/>
      <c r="W38" s="43"/>
    </row>
    <row r="39" spans="1:23" ht="30" customHeight="1" x14ac:dyDescent="0.25">
      <c r="A39" s="51" t="s">
        <v>324</v>
      </c>
      <c r="B39" s="52" t="s">
        <v>325</v>
      </c>
      <c r="C39" s="52"/>
      <c r="D39" s="52"/>
      <c r="E39" s="53">
        <v>22222.2</v>
      </c>
      <c r="F39" s="51" t="s">
        <v>7</v>
      </c>
      <c r="G39" s="66">
        <v>971923.83</v>
      </c>
      <c r="H39" s="66">
        <v>121645.47</v>
      </c>
      <c r="I39" s="66">
        <v>0</v>
      </c>
      <c r="J39" s="55">
        <v>693448.72</v>
      </c>
      <c r="K39" s="66">
        <v>1093569.3</v>
      </c>
      <c r="L39" s="56" t="s">
        <v>7</v>
      </c>
      <c r="M39" s="12"/>
      <c r="N39" s="671"/>
      <c r="R39" s="43"/>
      <c r="S39" s="43"/>
      <c r="T39" s="43"/>
      <c r="U39" s="60"/>
      <c r="V39" s="60"/>
      <c r="W39" s="43"/>
    </row>
    <row r="40" spans="1:23" ht="30" customHeight="1" x14ac:dyDescent="0.25">
      <c r="A40" s="51" t="s">
        <v>326</v>
      </c>
      <c r="B40" s="52" t="s">
        <v>327</v>
      </c>
      <c r="C40" s="52"/>
      <c r="D40" s="52"/>
      <c r="E40" s="53">
        <v>89310</v>
      </c>
      <c r="F40" s="51" t="s">
        <v>7</v>
      </c>
      <c r="G40" s="66">
        <v>112928.14</v>
      </c>
      <c r="H40" s="66">
        <v>30039.14</v>
      </c>
      <c r="I40" s="66">
        <v>19135.55</v>
      </c>
      <c r="J40" s="55">
        <v>101011.15</v>
      </c>
      <c r="K40" s="66">
        <v>162102.84</v>
      </c>
      <c r="L40" s="56" t="s">
        <v>7</v>
      </c>
      <c r="M40" s="12"/>
      <c r="N40" s="671"/>
      <c r="R40" s="43"/>
      <c r="S40" s="43"/>
      <c r="T40" s="43"/>
      <c r="U40" s="60"/>
      <c r="V40" s="60"/>
      <c r="W40" s="43"/>
    </row>
    <row r="41" spans="1:23" ht="30" customHeight="1" x14ac:dyDescent="0.25">
      <c r="A41" s="51" t="s">
        <v>328</v>
      </c>
      <c r="B41" s="52" t="s">
        <v>329</v>
      </c>
      <c r="C41" s="52"/>
      <c r="D41" s="52"/>
      <c r="E41" s="53">
        <v>60000</v>
      </c>
      <c r="F41" s="51" t="s">
        <v>7</v>
      </c>
      <c r="G41" s="66">
        <v>75867.08</v>
      </c>
      <c r="H41" s="66">
        <v>20180.82</v>
      </c>
      <c r="I41" s="66">
        <v>12855.6</v>
      </c>
      <c r="J41" s="55">
        <v>67861.03</v>
      </c>
      <c r="K41" s="66">
        <v>108903.49</v>
      </c>
      <c r="L41" s="56" t="s">
        <v>7</v>
      </c>
      <c r="M41" s="12"/>
      <c r="N41" s="671"/>
      <c r="R41" s="43"/>
      <c r="S41" s="43"/>
      <c r="T41" s="43"/>
      <c r="U41" s="60"/>
      <c r="V41" s="60"/>
      <c r="W41" s="43"/>
    </row>
    <row r="42" spans="1:23" ht="30" customHeight="1" x14ac:dyDescent="0.25">
      <c r="A42" s="51" t="s">
        <v>330</v>
      </c>
      <c r="B42" s="52" t="s">
        <v>331</v>
      </c>
      <c r="C42" s="52"/>
      <c r="D42" s="52"/>
      <c r="E42" s="53">
        <v>100800</v>
      </c>
      <c r="F42" s="51" t="s">
        <v>7</v>
      </c>
      <c r="G42" s="66">
        <v>54624.29</v>
      </c>
      <c r="H42" s="66">
        <v>48576.67</v>
      </c>
      <c r="I42" s="66">
        <v>13169.15</v>
      </c>
      <c r="J42" s="55">
        <v>68507.77</v>
      </c>
      <c r="K42" s="66">
        <v>116370.11</v>
      </c>
      <c r="L42" s="56" t="s">
        <v>7</v>
      </c>
      <c r="M42" s="12"/>
      <c r="N42" s="671"/>
      <c r="R42" s="43"/>
      <c r="S42" s="43"/>
      <c r="T42" s="43"/>
      <c r="U42" s="60"/>
      <c r="V42" s="60"/>
      <c r="W42" s="43"/>
    </row>
    <row r="43" spans="1:23" ht="30" customHeight="1" x14ac:dyDescent="0.25">
      <c r="A43" s="51" t="s">
        <v>332</v>
      </c>
      <c r="B43" s="52" t="s">
        <v>333</v>
      </c>
      <c r="C43" s="52"/>
      <c r="D43" s="52"/>
      <c r="E43" s="53">
        <v>34026</v>
      </c>
      <c r="F43" s="51" t="s">
        <v>7</v>
      </c>
      <c r="G43" s="66">
        <v>18438.95</v>
      </c>
      <c r="H43" s="66">
        <v>16397.52</v>
      </c>
      <c r="I43" s="66">
        <v>4445.37</v>
      </c>
      <c r="J43" s="55">
        <v>23125.45</v>
      </c>
      <c r="K43" s="66">
        <v>39281.839999999997</v>
      </c>
      <c r="L43" s="56" t="s">
        <v>7</v>
      </c>
      <c r="M43" s="12"/>
      <c r="N43" s="671"/>
      <c r="R43" s="43"/>
      <c r="S43" s="43"/>
      <c r="T43" s="43"/>
      <c r="U43" s="60"/>
      <c r="V43" s="60"/>
      <c r="W43" s="43"/>
    </row>
    <row r="44" spans="1:23" ht="30" customHeight="1" x14ac:dyDescent="0.25">
      <c r="A44" s="61"/>
      <c r="B44" s="62"/>
      <c r="C44" s="62"/>
      <c r="D44" s="62"/>
      <c r="E44" s="63"/>
      <c r="F44" s="63"/>
      <c r="G44" s="63"/>
      <c r="H44" s="64"/>
      <c r="I44" s="88" t="s">
        <v>340</v>
      </c>
      <c r="J44" s="66">
        <f>SUM(J28:J43)</f>
        <v>24914877.169999998</v>
      </c>
      <c r="K44" s="1973">
        <v>39765122.172096238</v>
      </c>
      <c r="L44" s="67" t="s">
        <v>335</v>
      </c>
      <c r="P44" s="43"/>
      <c r="Q44" s="43"/>
      <c r="R44" s="43"/>
      <c r="S44" s="60"/>
      <c r="T44" s="60"/>
      <c r="U44" s="43"/>
    </row>
    <row r="45" spans="1:23" ht="30" customHeight="1" thickBot="1" x14ac:dyDescent="0.3">
      <c r="A45" s="61"/>
      <c r="B45" s="61"/>
      <c r="C45" s="63"/>
      <c r="D45" s="63"/>
      <c r="E45" s="63"/>
      <c r="F45" s="63"/>
      <c r="G45" s="89"/>
      <c r="H45" s="90"/>
      <c r="I45" s="89"/>
      <c r="J45" s="91" t="s">
        <v>341</v>
      </c>
      <c r="K45" s="92">
        <f>+K44/F26</f>
        <v>178.94322871766178</v>
      </c>
      <c r="L45" s="51" t="s">
        <v>3</v>
      </c>
      <c r="P45" s="43"/>
      <c r="Q45" s="43"/>
      <c r="R45" s="43"/>
      <c r="S45" s="60"/>
      <c r="T45" s="60"/>
      <c r="U45" s="43"/>
    </row>
    <row r="46" spans="1:23" ht="30" customHeight="1" thickBot="1" x14ac:dyDescent="0.3">
      <c r="A46" s="76"/>
      <c r="B46" s="77"/>
      <c r="C46" s="77"/>
      <c r="D46" s="77"/>
      <c r="E46" s="77"/>
      <c r="F46" s="77"/>
      <c r="G46" s="77"/>
      <c r="H46" s="77"/>
      <c r="I46" s="77"/>
      <c r="J46" s="77"/>
      <c r="K46" s="77"/>
      <c r="L46" s="78"/>
      <c r="P46" s="43"/>
      <c r="Q46" s="43"/>
      <c r="R46" s="43"/>
      <c r="S46" s="60"/>
      <c r="T46" s="60"/>
      <c r="U46" s="43"/>
    </row>
    <row r="47" spans="1:23" ht="30" customHeight="1" x14ac:dyDescent="0.25">
      <c r="A47" s="30" t="s">
        <v>288</v>
      </c>
      <c r="B47" s="31">
        <v>1111</v>
      </c>
      <c r="C47" s="32" t="s">
        <v>342</v>
      </c>
      <c r="D47" s="33"/>
      <c r="E47" s="34" t="s">
        <v>290</v>
      </c>
      <c r="F47" s="35">
        <v>166667</v>
      </c>
      <c r="G47" s="36" t="s">
        <v>291</v>
      </c>
      <c r="H47" s="37" t="s">
        <v>3</v>
      </c>
      <c r="I47" s="36" t="s">
        <v>292</v>
      </c>
      <c r="J47" s="38" t="s">
        <v>343</v>
      </c>
      <c r="K47" s="39"/>
      <c r="L47" s="40"/>
      <c r="P47" s="43"/>
      <c r="Q47" s="43"/>
      <c r="R47" s="43"/>
      <c r="S47" s="60"/>
      <c r="T47" s="60"/>
      <c r="U47" s="43"/>
    </row>
    <row r="48" spans="1:23" s="49" customFormat="1" ht="30" customHeight="1" x14ac:dyDescent="0.25">
      <c r="A48" s="44" t="s">
        <v>294</v>
      </c>
      <c r="B48" s="45" t="s">
        <v>295</v>
      </c>
      <c r="C48" s="45"/>
      <c r="D48" s="45"/>
      <c r="E48" s="44" t="s">
        <v>296</v>
      </c>
      <c r="F48" s="44" t="s">
        <v>2</v>
      </c>
      <c r="G48" s="46" t="s">
        <v>297</v>
      </c>
      <c r="H48" s="46" t="s">
        <v>298</v>
      </c>
      <c r="I48" s="46" t="s">
        <v>299</v>
      </c>
      <c r="J48" s="93" t="s">
        <v>300</v>
      </c>
      <c r="K48" s="47" t="s">
        <v>301</v>
      </c>
      <c r="L48" s="94"/>
      <c r="M48" s="502"/>
      <c r="N48" s="502"/>
      <c r="O48" s="27"/>
      <c r="P48" s="50"/>
      <c r="Q48" s="50"/>
      <c r="R48" s="50"/>
      <c r="S48" s="50"/>
      <c r="T48" s="50"/>
      <c r="U48" s="50"/>
    </row>
    <row r="49" spans="1:23" ht="30" customHeight="1" x14ac:dyDescent="0.25">
      <c r="A49" s="51" t="s">
        <v>302</v>
      </c>
      <c r="B49" s="52" t="s">
        <v>303</v>
      </c>
      <c r="C49" s="52"/>
      <c r="D49" s="52"/>
      <c r="E49" s="53">
        <v>360957.26</v>
      </c>
      <c r="F49" s="51" t="s">
        <v>3</v>
      </c>
      <c r="G49" s="66">
        <v>0</v>
      </c>
      <c r="H49" s="66">
        <v>429134.89</v>
      </c>
      <c r="I49" s="66">
        <v>148574.59</v>
      </c>
      <c r="J49" s="95">
        <v>312223.28999999998</v>
      </c>
      <c r="K49" s="66">
        <v>577709.48</v>
      </c>
      <c r="L49" s="56" t="s">
        <v>3</v>
      </c>
      <c r="M49" s="1886"/>
      <c r="N49" s="1886"/>
      <c r="R49" s="43"/>
      <c r="S49" s="43"/>
      <c r="T49" s="43"/>
      <c r="U49" s="60"/>
      <c r="V49" s="60"/>
      <c r="W49" s="43"/>
    </row>
    <row r="50" spans="1:23" ht="30" customHeight="1" x14ac:dyDescent="0.25">
      <c r="A50" s="51" t="s">
        <v>305</v>
      </c>
      <c r="B50" s="52" t="s">
        <v>306</v>
      </c>
      <c r="C50" s="52"/>
      <c r="D50" s="52"/>
      <c r="E50" s="53">
        <v>83423.09</v>
      </c>
      <c r="F50" s="51" t="s">
        <v>307</v>
      </c>
      <c r="G50" s="66">
        <v>5255385.04</v>
      </c>
      <c r="H50" s="66">
        <v>1058322.42</v>
      </c>
      <c r="I50" s="66">
        <v>529507.91</v>
      </c>
      <c r="J50" s="95">
        <v>4295324.91</v>
      </c>
      <c r="K50" s="66">
        <v>6843215.3700000001</v>
      </c>
      <c r="L50" s="56" t="s">
        <v>307</v>
      </c>
      <c r="M50" s="12"/>
      <c r="N50" s="671"/>
      <c r="R50" s="43"/>
      <c r="S50" s="43"/>
      <c r="T50" s="43"/>
      <c r="U50" s="60"/>
      <c r="V50" s="60"/>
      <c r="W50" s="43"/>
    </row>
    <row r="51" spans="1:23" ht="30" customHeight="1" x14ac:dyDescent="0.25">
      <c r="A51" s="51" t="s">
        <v>308</v>
      </c>
      <c r="B51" s="52" t="s">
        <v>309</v>
      </c>
      <c r="C51" s="52"/>
      <c r="D51" s="52"/>
      <c r="E51" s="53">
        <v>100136.53</v>
      </c>
      <c r="F51" s="51" t="s">
        <v>307</v>
      </c>
      <c r="G51" s="66">
        <v>3617650.32</v>
      </c>
      <c r="H51" s="66">
        <v>0</v>
      </c>
      <c r="I51" s="66">
        <v>0</v>
      </c>
      <c r="J51" s="95">
        <v>2353685.2999999998</v>
      </c>
      <c r="K51" s="66">
        <v>3617650.32</v>
      </c>
      <c r="L51" s="56" t="s">
        <v>307</v>
      </c>
      <c r="M51" s="12"/>
      <c r="N51" s="671"/>
      <c r="R51" s="43"/>
      <c r="S51" s="43"/>
      <c r="T51" s="43"/>
      <c r="U51" s="60"/>
      <c r="V51" s="60"/>
      <c r="W51" s="43"/>
    </row>
    <row r="52" spans="1:23" ht="30" customHeight="1" x14ac:dyDescent="0.25">
      <c r="A52" s="51" t="s">
        <v>310</v>
      </c>
      <c r="B52" s="52" t="s">
        <v>311</v>
      </c>
      <c r="C52" s="52"/>
      <c r="D52" s="52"/>
      <c r="E52" s="53">
        <v>166666</v>
      </c>
      <c r="F52" s="51" t="s">
        <v>3</v>
      </c>
      <c r="G52" s="66">
        <v>163700.62</v>
      </c>
      <c r="H52" s="66">
        <v>7846</v>
      </c>
      <c r="I52" s="66">
        <v>3637.59</v>
      </c>
      <c r="J52" s="95">
        <v>112813.31</v>
      </c>
      <c r="K52" s="66">
        <v>175184.21</v>
      </c>
      <c r="L52" s="56" t="s">
        <v>3</v>
      </c>
      <c r="M52" s="12"/>
      <c r="N52" s="671"/>
      <c r="R52" s="43"/>
      <c r="S52" s="43"/>
      <c r="T52" s="43"/>
      <c r="U52" s="60"/>
      <c r="V52" s="60"/>
      <c r="W52" s="43"/>
    </row>
    <row r="53" spans="1:23" ht="30" customHeight="1" x14ac:dyDescent="0.25">
      <c r="A53" s="51" t="s">
        <v>338</v>
      </c>
      <c r="B53" s="52" t="s">
        <v>339</v>
      </c>
      <c r="C53" s="52"/>
      <c r="D53" s="52"/>
      <c r="E53" s="53">
        <v>166666</v>
      </c>
      <c r="F53" s="51" t="s">
        <v>3</v>
      </c>
      <c r="G53" s="66">
        <v>784608.94</v>
      </c>
      <c r="H53" s="66">
        <v>958381.88</v>
      </c>
      <c r="I53" s="66">
        <v>41217.46</v>
      </c>
      <c r="J53" s="95">
        <v>1018697.46</v>
      </c>
      <c r="K53" s="66">
        <v>1784208.28</v>
      </c>
      <c r="L53" s="56" t="s">
        <v>3</v>
      </c>
      <c r="M53" s="12"/>
      <c r="N53" s="671"/>
      <c r="R53" s="43"/>
      <c r="S53" s="43"/>
      <c r="T53" s="43"/>
      <c r="U53" s="60"/>
      <c r="V53" s="60"/>
      <c r="W53" s="43"/>
    </row>
    <row r="54" spans="1:23" ht="30" customHeight="1" x14ac:dyDescent="0.25">
      <c r="A54" s="51" t="s">
        <v>314</v>
      </c>
      <c r="B54" s="52" t="s">
        <v>315</v>
      </c>
      <c r="C54" s="52"/>
      <c r="D54" s="52"/>
      <c r="E54" s="53">
        <v>166666</v>
      </c>
      <c r="F54" s="51" t="s">
        <v>3</v>
      </c>
      <c r="G54" s="66">
        <v>0</v>
      </c>
      <c r="H54" s="66">
        <v>962958.71</v>
      </c>
      <c r="I54" s="66">
        <v>1078801.1100000001</v>
      </c>
      <c r="J54" s="95">
        <v>1185584.73</v>
      </c>
      <c r="K54" s="66">
        <v>2041759.82</v>
      </c>
      <c r="L54" s="56" t="s">
        <v>3</v>
      </c>
      <c r="M54" s="12"/>
      <c r="N54" s="671"/>
      <c r="R54" s="43"/>
      <c r="S54" s="43"/>
      <c r="T54" s="43"/>
      <c r="U54" s="60"/>
      <c r="V54" s="60"/>
      <c r="W54" s="43"/>
    </row>
    <row r="55" spans="1:23" ht="30" customHeight="1" x14ac:dyDescent="0.25">
      <c r="A55" s="51" t="s">
        <v>316</v>
      </c>
      <c r="B55" s="52" t="s">
        <v>317</v>
      </c>
      <c r="C55" s="52"/>
      <c r="D55" s="52"/>
      <c r="E55" s="53">
        <v>50461.79</v>
      </c>
      <c r="F55" s="51" t="s">
        <v>307</v>
      </c>
      <c r="G55" s="66">
        <v>7520048.6900000004</v>
      </c>
      <c r="H55" s="66">
        <v>0</v>
      </c>
      <c r="I55" s="66">
        <v>0</v>
      </c>
      <c r="J55" s="95">
        <v>4892630.9800000004</v>
      </c>
      <c r="K55" s="66">
        <v>7520048.6900000004</v>
      </c>
      <c r="L55" s="56" t="s">
        <v>307</v>
      </c>
      <c r="M55" s="12"/>
      <c r="N55" s="671"/>
      <c r="R55" s="43"/>
      <c r="S55" s="43"/>
      <c r="T55" s="43"/>
      <c r="U55" s="60"/>
      <c r="V55" s="60"/>
      <c r="W55" s="43"/>
    </row>
    <row r="56" spans="1:23" ht="30" customHeight="1" x14ac:dyDescent="0.25">
      <c r="A56" s="51" t="s">
        <v>318</v>
      </c>
      <c r="B56" s="52" t="s">
        <v>319</v>
      </c>
      <c r="C56" s="52"/>
      <c r="D56" s="52"/>
      <c r="E56" s="53">
        <v>50461.79</v>
      </c>
      <c r="F56" s="51" t="s">
        <v>307</v>
      </c>
      <c r="G56" s="66">
        <v>0</v>
      </c>
      <c r="H56" s="66">
        <v>44822.85</v>
      </c>
      <c r="I56" s="66">
        <v>78359.42</v>
      </c>
      <c r="J56" s="95">
        <v>73496.53</v>
      </c>
      <c r="K56" s="66">
        <v>123182.26</v>
      </c>
      <c r="L56" s="56" t="s">
        <v>307</v>
      </c>
      <c r="M56" s="12"/>
      <c r="N56" s="671"/>
      <c r="R56" s="43"/>
      <c r="S56" s="43"/>
      <c r="T56" s="43"/>
      <c r="U56" s="60"/>
      <c r="V56" s="60"/>
      <c r="W56" s="43"/>
    </row>
    <row r="57" spans="1:23" ht="30" customHeight="1" x14ac:dyDescent="0.25">
      <c r="A57" s="51" t="s">
        <v>320</v>
      </c>
      <c r="B57" s="52" t="s">
        <v>321</v>
      </c>
      <c r="C57" s="52"/>
      <c r="D57" s="52"/>
      <c r="E57" s="53">
        <v>71666.38</v>
      </c>
      <c r="F57" s="51" t="s">
        <v>7</v>
      </c>
      <c r="G57" s="66">
        <v>119746.07</v>
      </c>
      <c r="H57" s="66">
        <v>352737.53</v>
      </c>
      <c r="I57" s="66">
        <v>0</v>
      </c>
      <c r="J57" s="95">
        <v>255091.92</v>
      </c>
      <c r="K57" s="66">
        <v>472483.59</v>
      </c>
      <c r="L57" s="56" t="s">
        <v>7</v>
      </c>
      <c r="M57" s="12"/>
      <c r="N57" s="671"/>
      <c r="R57" s="43"/>
      <c r="S57" s="43"/>
      <c r="T57" s="43"/>
      <c r="U57" s="60"/>
      <c r="V57" s="60"/>
      <c r="W57" s="43"/>
    </row>
    <row r="58" spans="1:23" ht="30" customHeight="1" x14ac:dyDescent="0.25">
      <c r="A58" s="51" t="s">
        <v>322</v>
      </c>
      <c r="B58" s="52" t="s">
        <v>323</v>
      </c>
      <c r="C58" s="52"/>
      <c r="D58" s="52"/>
      <c r="E58" s="53">
        <v>83333.02</v>
      </c>
      <c r="F58" s="51" t="s">
        <v>7</v>
      </c>
      <c r="G58" s="66">
        <v>139239.64000000001</v>
      </c>
      <c r="H58" s="66">
        <v>410160.01</v>
      </c>
      <c r="I58" s="66">
        <v>0</v>
      </c>
      <c r="J58" s="95">
        <v>296618.58</v>
      </c>
      <c r="K58" s="66">
        <v>549399.66</v>
      </c>
      <c r="L58" s="56" t="s">
        <v>7</v>
      </c>
      <c r="M58" s="12"/>
      <c r="N58" s="671"/>
      <c r="R58" s="43"/>
      <c r="S58" s="43"/>
      <c r="T58" s="43"/>
      <c r="U58" s="60"/>
      <c r="V58" s="60"/>
      <c r="W58" s="43"/>
    </row>
    <row r="59" spans="1:23" ht="30" customHeight="1" x14ac:dyDescent="0.25">
      <c r="A59" s="51" t="s">
        <v>324</v>
      </c>
      <c r="B59" s="52" t="s">
        <v>325</v>
      </c>
      <c r="C59" s="52"/>
      <c r="D59" s="52"/>
      <c r="E59" s="53">
        <v>16666.599999999999</v>
      </c>
      <c r="F59" s="51" t="s">
        <v>7</v>
      </c>
      <c r="G59" s="66">
        <v>728940.69</v>
      </c>
      <c r="H59" s="66">
        <v>91233.83</v>
      </c>
      <c r="I59" s="66">
        <v>0</v>
      </c>
      <c r="J59" s="95">
        <v>520084.98</v>
      </c>
      <c r="K59" s="66">
        <v>820174.51</v>
      </c>
      <c r="L59" s="56" t="s">
        <v>7</v>
      </c>
      <c r="M59" s="12"/>
      <c r="N59" s="671"/>
      <c r="R59" s="43"/>
      <c r="S59" s="43"/>
      <c r="T59" s="43"/>
      <c r="U59" s="60"/>
      <c r="V59" s="60"/>
      <c r="W59" s="43"/>
    </row>
    <row r="60" spans="1:23" ht="30" customHeight="1" x14ac:dyDescent="0.25">
      <c r="A60" s="51" t="s">
        <v>326</v>
      </c>
      <c r="B60" s="52" t="s">
        <v>327</v>
      </c>
      <c r="C60" s="52"/>
      <c r="D60" s="52"/>
      <c r="E60" s="53">
        <v>89310</v>
      </c>
      <c r="F60" s="51" t="s">
        <v>7</v>
      </c>
      <c r="G60" s="66">
        <v>112928.14</v>
      </c>
      <c r="H60" s="66">
        <v>30039.14</v>
      </c>
      <c r="I60" s="66">
        <v>19135.55</v>
      </c>
      <c r="J60" s="95">
        <v>101011.15</v>
      </c>
      <c r="K60" s="66">
        <v>162102.84</v>
      </c>
      <c r="L60" s="56" t="s">
        <v>7</v>
      </c>
      <c r="M60" s="12"/>
      <c r="N60" s="671"/>
      <c r="R60" s="43"/>
      <c r="S60" s="43"/>
      <c r="T60" s="43"/>
      <c r="U60" s="60"/>
      <c r="V60" s="60"/>
      <c r="W60" s="43"/>
    </row>
    <row r="61" spans="1:23" ht="30" customHeight="1" x14ac:dyDescent="0.25">
      <c r="A61" s="51" t="s">
        <v>328</v>
      </c>
      <c r="B61" s="52" t="s">
        <v>329</v>
      </c>
      <c r="C61" s="52"/>
      <c r="D61" s="52"/>
      <c r="E61" s="53">
        <v>60000</v>
      </c>
      <c r="F61" s="51" t="s">
        <v>7</v>
      </c>
      <c r="G61" s="66">
        <v>75867.08</v>
      </c>
      <c r="H61" s="66">
        <v>20180.82</v>
      </c>
      <c r="I61" s="66">
        <v>12855.6</v>
      </c>
      <c r="J61" s="95">
        <v>67861.03</v>
      </c>
      <c r="K61" s="66">
        <v>108903.49</v>
      </c>
      <c r="L61" s="56" t="s">
        <v>7</v>
      </c>
      <c r="M61" s="12"/>
      <c r="N61" s="671"/>
      <c r="R61" s="43"/>
      <c r="S61" s="43"/>
      <c r="T61" s="43"/>
      <c r="U61" s="60"/>
      <c r="V61" s="60"/>
      <c r="W61" s="43"/>
    </row>
    <row r="62" spans="1:23" ht="30" customHeight="1" x14ac:dyDescent="0.25">
      <c r="A62" s="51" t="s">
        <v>330</v>
      </c>
      <c r="B62" s="52" t="s">
        <v>331</v>
      </c>
      <c r="C62" s="52"/>
      <c r="D62" s="52"/>
      <c r="E62" s="53">
        <v>100800</v>
      </c>
      <c r="F62" s="51" t="s">
        <v>7</v>
      </c>
      <c r="G62" s="66">
        <v>54624.29</v>
      </c>
      <c r="H62" s="66">
        <v>48576.67</v>
      </c>
      <c r="I62" s="66">
        <v>13169.15</v>
      </c>
      <c r="J62" s="95">
        <v>68507.77</v>
      </c>
      <c r="K62" s="66">
        <v>116370.11</v>
      </c>
      <c r="L62" s="56" t="s">
        <v>7</v>
      </c>
      <c r="M62" s="12"/>
      <c r="N62" s="671"/>
      <c r="R62" s="43"/>
      <c r="S62" s="43"/>
      <c r="T62" s="43"/>
      <c r="U62" s="60"/>
      <c r="V62" s="60"/>
      <c r="W62" s="43"/>
    </row>
    <row r="63" spans="1:23" ht="30" customHeight="1" x14ac:dyDescent="0.25">
      <c r="A63" s="51" t="s">
        <v>332</v>
      </c>
      <c r="B63" s="52" t="s">
        <v>333</v>
      </c>
      <c r="C63" s="52"/>
      <c r="D63" s="52"/>
      <c r="E63" s="53">
        <v>34026</v>
      </c>
      <c r="F63" s="51" t="s">
        <v>7</v>
      </c>
      <c r="G63" s="66">
        <v>18438.95</v>
      </c>
      <c r="H63" s="66">
        <v>16397.52</v>
      </c>
      <c r="I63" s="66">
        <v>4445.37</v>
      </c>
      <c r="J63" s="95">
        <v>23125.45</v>
      </c>
      <c r="K63" s="66">
        <v>39281.839999999997</v>
      </c>
      <c r="L63" s="56" t="s">
        <v>7</v>
      </c>
      <c r="M63" s="12"/>
      <c r="N63" s="671"/>
      <c r="R63" s="43"/>
      <c r="S63" s="43"/>
      <c r="T63" s="43"/>
      <c r="U63" s="60"/>
      <c r="V63" s="60"/>
      <c r="W63" s="43"/>
    </row>
    <row r="64" spans="1:23" ht="30" customHeight="1" x14ac:dyDescent="0.25">
      <c r="A64" s="51"/>
      <c r="B64" s="96"/>
      <c r="C64" s="96"/>
      <c r="D64" s="96"/>
      <c r="E64" s="97"/>
      <c r="F64" s="51"/>
      <c r="G64" s="98"/>
      <c r="H64" s="64"/>
      <c r="I64" s="88" t="s">
        <v>344</v>
      </c>
      <c r="J64" s="66">
        <f>SUM(J49:J63)</f>
        <v>15576757.389999999</v>
      </c>
      <c r="K64" s="1973">
        <v>24951674.459367238</v>
      </c>
      <c r="L64" s="67" t="s">
        <v>335</v>
      </c>
      <c r="M64" s="12"/>
      <c r="N64" s="671"/>
      <c r="R64" s="43"/>
      <c r="S64" s="43"/>
      <c r="T64" s="43"/>
      <c r="U64" s="60"/>
      <c r="V64" s="60"/>
      <c r="W64" s="43"/>
    </row>
    <row r="65" spans="1:23" ht="30" customHeight="1" thickBot="1" x14ac:dyDescent="0.3">
      <c r="A65" s="99" t="s">
        <v>345</v>
      </c>
      <c r="B65" s="99"/>
      <c r="C65" s="99"/>
      <c r="D65" s="99"/>
      <c r="E65" s="1995"/>
      <c r="F65" s="1991"/>
      <c r="G65" s="100"/>
      <c r="H65" s="101"/>
      <c r="I65" s="100"/>
      <c r="J65" s="102" t="s">
        <v>346</v>
      </c>
      <c r="K65" s="103">
        <f>+K64/F47</f>
        <v>149.70974733670874</v>
      </c>
      <c r="L65" s="65" t="s">
        <v>3</v>
      </c>
      <c r="P65" s="43"/>
      <c r="Q65" s="43"/>
      <c r="R65" s="43"/>
      <c r="S65" s="60"/>
      <c r="T65" s="60"/>
      <c r="U65" s="43"/>
    </row>
    <row r="66" spans="1:23" ht="30" customHeight="1" x14ac:dyDescent="0.25">
      <c r="A66" s="104"/>
      <c r="B66" s="104"/>
      <c r="C66" s="104"/>
      <c r="D66" s="104"/>
      <c r="E66" s="1995"/>
      <c r="F66" s="1992" t="s">
        <v>347</v>
      </c>
      <c r="G66" s="106"/>
      <c r="H66" s="107" t="s">
        <v>348</v>
      </c>
      <c r="I66" s="108">
        <v>0.71</v>
      </c>
      <c r="J66" s="109" t="s">
        <v>346</v>
      </c>
      <c r="K66" s="21">
        <f>+K65</f>
        <v>149.70974733670874</v>
      </c>
      <c r="L66" s="61" t="s">
        <v>3</v>
      </c>
      <c r="P66" s="43"/>
      <c r="Q66" s="43"/>
      <c r="R66" s="43"/>
      <c r="S66" s="60"/>
      <c r="T66" s="60"/>
      <c r="U66" s="43"/>
    </row>
    <row r="67" spans="1:23" ht="30" customHeight="1" x14ac:dyDescent="0.25">
      <c r="A67" s="104"/>
      <c r="B67" s="104"/>
      <c r="C67" s="104"/>
      <c r="D67" s="104"/>
      <c r="E67" s="1995"/>
      <c r="F67" s="1993"/>
      <c r="G67" s="110"/>
      <c r="H67" s="61" t="s">
        <v>349</v>
      </c>
      <c r="I67" s="111">
        <v>0.13700000000000001</v>
      </c>
      <c r="J67" s="109" t="s">
        <v>341</v>
      </c>
      <c r="K67" s="21">
        <f>+K45</f>
        <v>178.94322871766178</v>
      </c>
      <c r="L67" s="61" t="s">
        <v>3</v>
      </c>
      <c r="P67" s="43"/>
      <c r="Q67" s="43"/>
      <c r="R67" s="43"/>
      <c r="S67" s="60"/>
      <c r="T67" s="60"/>
      <c r="U67" s="43"/>
    </row>
    <row r="68" spans="1:23" ht="30" customHeight="1" thickBot="1" x14ac:dyDescent="0.3">
      <c r="A68" s="104"/>
      <c r="B68" s="104"/>
      <c r="C68" s="104"/>
      <c r="D68" s="104"/>
      <c r="E68" s="1995"/>
      <c r="F68" s="1994"/>
      <c r="G68" s="112"/>
      <c r="H68" s="113" t="s">
        <v>350</v>
      </c>
      <c r="I68" s="114">
        <v>0.153</v>
      </c>
      <c r="J68" s="109" t="s">
        <v>351</v>
      </c>
      <c r="K68" s="21">
        <f>+K24</f>
        <v>254.63739602739602</v>
      </c>
      <c r="L68" s="61" t="s">
        <v>3</v>
      </c>
      <c r="P68" s="43"/>
      <c r="Q68" s="43"/>
      <c r="R68" s="43"/>
      <c r="S68" s="60"/>
      <c r="T68" s="60"/>
      <c r="U68" s="43"/>
    </row>
    <row r="69" spans="1:23" ht="30" customHeight="1" thickBot="1" x14ac:dyDescent="0.3">
      <c r="A69" s="104"/>
      <c r="B69" s="104"/>
      <c r="C69" s="104"/>
      <c r="D69" s="104"/>
      <c r="E69" s="1996"/>
      <c r="F69" s="1997"/>
      <c r="G69" s="100"/>
      <c r="H69" s="100"/>
      <c r="I69" s="1998"/>
      <c r="J69" s="1999" t="s">
        <v>352</v>
      </c>
      <c r="K69" s="2000">
        <f>+K66*I66+K67*I67+K68*I68</f>
        <v>169.76866453557449</v>
      </c>
      <c r="L69" s="47" t="s">
        <v>3</v>
      </c>
      <c r="P69" s="43"/>
      <c r="Q69" s="43"/>
      <c r="R69" s="43"/>
      <c r="S69" s="60"/>
      <c r="T69" s="60"/>
      <c r="U69" s="43"/>
    </row>
    <row r="70" spans="1:23" ht="30" customHeight="1" thickBot="1" x14ac:dyDescent="0.3">
      <c r="A70" s="118"/>
      <c r="B70" s="119"/>
      <c r="C70" s="119"/>
      <c r="D70" s="119"/>
      <c r="E70" s="119"/>
      <c r="F70" s="119"/>
      <c r="G70" s="119"/>
      <c r="H70" s="119"/>
      <c r="I70" s="119"/>
      <c r="J70" s="119"/>
      <c r="K70" s="119"/>
      <c r="L70" s="120"/>
      <c r="P70" s="43"/>
      <c r="Q70" s="43"/>
      <c r="R70" s="43"/>
      <c r="S70" s="60"/>
      <c r="T70" s="60"/>
      <c r="U70" s="43"/>
    </row>
    <row r="71" spans="1:23" ht="45" customHeight="1" x14ac:dyDescent="0.25">
      <c r="A71" s="30" t="s">
        <v>288</v>
      </c>
      <c r="B71" s="31">
        <v>1112</v>
      </c>
      <c r="C71" s="121" t="s">
        <v>353</v>
      </c>
      <c r="D71" s="122"/>
      <c r="E71" s="123" t="s">
        <v>354</v>
      </c>
      <c r="F71" s="124">
        <v>3782</v>
      </c>
      <c r="G71" s="36" t="s">
        <v>291</v>
      </c>
      <c r="H71" s="37" t="s">
        <v>3</v>
      </c>
      <c r="I71" s="36" t="s">
        <v>292</v>
      </c>
      <c r="J71" s="38" t="s">
        <v>3380</v>
      </c>
      <c r="K71" s="39"/>
      <c r="L71" s="40"/>
      <c r="P71" s="43"/>
      <c r="Q71" s="43"/>
      <c r="R71" s="43"/>
      <c r="S71" s="60"/>
      <c r="T71" s="60"/>
      <c r="U71" s="43"/>
    </row>
    <row r="72" spans="1:23" s="49" customFormat="1" ht="30" customHeight="1" x14ac:dyDescent="0.25">
      <c r="A72" s="44" t="s">
        <v>294</v>
      </c>
      <c r="B72" s="45" t="s">
        <v>295</v>
      </c>
      <c r="C72" s="45"/>
      <c r="D72" s="45"/>
      <c r="E72" s="44" t="s">
        <v>296</v>
      </c>
      <c r="F72" s="44" t="s">
        <v>2</v>
      </c>
      <c r="G72" s="46" t="s">
        <v>297</v>
      </c>
      <c r="H72" s="46" t="s">
        <v>298</v>
      </c>
      <c r="I72" s="46" t="s">
        <v>299</v>
      </c>
      <c r="J72" s="47" t="s">
        <v>300</v>
      </c>
      <c r="K72" s="47" t="s">
        <v>301</v>
      </c>
      <c r="L72" s="94"/>
      <c r="M72" s="502"/>
      <c r="N72" s="502"/>
      <c r="O72" s="27"/>
      <c r="P72" s="50"/>
      <c r="Q72" s="50"/>
      <c r="R72" s="50"/>
      <c r="S72" s="50"/>
      <c r="T72" s="50"/>
      <c r="U72" s="50"/>
    </row>
    <row r="73" spans="1:23" ht="30" customHeight="1" x14ac:dyDescent="0.25">
      <c r="A73" s="51" t="s">
        <v>302</v>
      </c>
      <c r="B73" s="125" t="s">
        <v>303</v>
      </c>
      <c r="C73" s="125"/>
      <c r="D73" s="125"/>
      <c r="E73" s="53">
        <v>4857.72</v>
      </c>
      <c r="F73" s="51" t="s">
        <v>3</v>
      </c>
      <c r="G73" s="66">
        <v>0</v>
      </c>
      <c r="H73" s="66">
        <v>2300.67</v>
      </c>
      <c r="I73" s="66">
        <v>1368.41</v>
      </c>
      <c r="J73" s="126">
        <v>2049.5700000000002</v>
      </c>
      <c r="K73" s="66">
        <v>3669.09</v>
      </c>
      <c r="L73" s="56" t="s">
        <v>3</v>
      </c>
      <c r="M73" s="1886"/>
      <c r="N73" s="1886"/>
      <c r="R73" s="43"/>
      <c r="S73" s="43"/>
      <c r="T73" s="43"/>
      <c r="U73" s="60"/>
      <c r="V73" s="60"/>
      <c r="W73" s="43"/>
    </row>
    <row r="74" spans="1:23" ht="30" customHeight="1" x14ac:dyDescent="0.25">
      <c r="A74" s="51" t="s">
        <v>305</v>
      </c>
      <c r="B74" s="127" t="s">
        <v>306</v>
      </c>
      <c r="E74" s="53">
        <v>1191.79</v>
      </c>
      <c r="F74" s="51" t="s">
        <v>307</v>
      </c>
      <c r="G74" s="66">
        <v>75189.56</v>
      </c>
      <c r="H74" s="66">
        <v>14967.92</v>
      </c>
      <c r="I74" s="66">
        <v>7551.27</v>
      </c>
      <c r="J74" s="126">
        <v>61458.98</v>
      </c>
      <c r="K74" s="66">
        <v>97708.75</v>
      </c>
      <c r="L74" s="56" t="s">
        <v>307</v>
      </c>
      <c r="M74" s="12"/>
      <c r="N74" s="671"/>
      <c r="R74" s="43"/>
      <c r="S74" s="43"/>
      <c r="T74" s="43"/>
      <c r="U74" s="60"/>
      <c r="V74" s="60"/>
      <c r="W74" s="43"/>
    </row>
    <row r="75" spans="1:23" ht="30" customHeight="1" x14ac:dyDescent="0.25">
      <c r="A75" s="51" t="s">
        <v>308</v>
      </c>
      <c r="B75" s="125" t="s">
        <v>309</v>
      </c>
      <c r="C75" s="125"/>
      <c r="D75" s="125"/>
      <c r="E75" s="53">
        <v>1347.63</v>
      </c>
      <c r="F75" s="51" t="s">
        <v>307</v>
      </c>
      <c r="G75" s="66">
        <v>48757.82</v>
      </c>
      <c r="H75" s="66">
        <v>0</v>
      </c>
      <c r="I75" s="66">
        <v>0</v>
      </c>
      <c r="J75" s="126">
        <v>31778.400000000001</v>
      </c>
      <c r="K75" s="66">
        <v>48757.82</v>
      </c>
      <c r="L75" s="56" t="s">
        <v>3</v>
      </c>
      <c r="M75" s="12"/>
      <c r="N75" s="671"/>
      <c r="R75" s="43"/>
      <c r="S75" s="43"/>
      <c r="T75" s="43"/>
      <c r="U75" s="60"/>
      <c r="V75" s="60"/>
      <c r="W75" s="43"/>
    </row>
    <row r="76" spans="1:23" ht="30" customHeight="1" x14ac:dyDescent="0.25">
      <c r="A76" s="51" t="s">
        <v>310</v>
      </c>
      <c r="B76" s="125" t="s">
        <v>311</v>
      </c>
      <c r="C76" s="125"/>
      <c r="D76" s="125"/>
      <c r="E76" s="53">
        <v>2381</v>
      </c>
      <c r="F76" s="51" t="s">
        <v>3</v>
      </c>
      <c r="G76" s="66">
        <v>7968.47</v>
      </c>
      <c r="H76" s="66">
        <v>1181.21</v>
      </c>
      <c r="I76" s="66">
        <v>778.13</v>
      </c>
      <c r="J76" s="126">
        <v>6295.06</v>
      </c>
      <c r="K76" s="66">
        <v>9927.7999999999993</v>
      </c>
      <c r="L76" s="56" t="s">
        <v>3</v>
      </c>
      <c r="M76" s="12"/>
      <c r="N76" s="671"/>
      <c r="R76" s="43"/>
      <c r="S76" s="43"/>
      <c r="T76" s="43"/>
      <c r="U76" s="60"/>
      <c r="V76" s="60"/>
      <c r="W76" s="43"/>
    </row>
    <row r="77" spans="1:23" ht="30" customHeight="1" x14ac:dyDescent="0.25">
      <c r="A77" s="51" t="s">
        <v>338</v>
      </c>
      <c r="B77" s="125" t="s">
        <v>339</v>
      </c>
      <c r="C77" s="125"/>
      <c r="D77" s="125"/>
      <c r="E77" s="53">
        <v>2381</v>
      </c>
      <c r="F77" s="51" t="s">
        <v>3</v>
      </c>
      <c r="G77" s="66">
        <v>19889.22</v>
      </c>
      <c r="H77" s="66">
        <v>41431.75</v>
      </c>
      <c r="I77" s="66">
        <v>9002.91</v>
      </c>
      <c r="J77" s="126">
        <v>39679.07</v>
      </c>
      <c r="K77" s="66">
        <v>70323.88</v>
      </c>
      <c r="L77" s="56" t="s">
        <v>307</v>
      </c>
      <c r="M77" s="12"/>
      <c r="N77" s="671"/>
      <c r="R77" s="43"/>
      <c r="S77" s="43"/>
      <c r="T77" s="43"/>
      <c r="U77" s="60"/>
      <c r="V77" s="60"/>
      <c r="W77" s="43"/>
    </row>
    <row r="78" spans="1:23" ht="30" customHeight="1" x14ac:dyDescent="0.25">
      <c r="A78" s="51" t="s">
        <v>314</v>
      </c>
      <c r="B78" s="129" t="s">
        <v>315</v>
      </c>
      <c r="C78" s="130"/>
      <c r="D78" s="131"/>
      <c r="E78" s="53">
        <v>694.44</v>
      </c>
      <c r="F78" s="51" t="s">
        <v>307</v>
      </c>
      <c r="G78" s="66">
        <v>0</v>
      </c>
      <c r="H78" s="66">
        <v>13619.15</v>
      </c>
      <c r="I78" s="66">
        <v>15384.66</v>
      </c>
      <c r="J78" s="126">
        <v>16880.22</v>
      </c>
      <c r="K78" s="66">
        <v>29003.81</v>
      </c>
      <c r="L78" s="56" t="s">
        <v>3</v>
      </c>
      <c r="M78" s="12"/>
      <c r="N78" s="671"/>
      <c r="R78" s="43"/>
      <c r="S78" s="43"/>
      <c r="T78" s="43"/>
      <c r="U78" s="60"/>
      <c r="V78" s="60"/>
      <c r="W78" s="43"/>
    </row>
    <row r="79" spans="1:23" ht="30" customHeight="1" x14ac:dyDescent="0.25">
      <c r="A79" s="51" t="s">
        <v>316</v>
      </c>
      <c r="B79" s="125" t="s">
        <v>317</v>
      </c>
      <c r="C79" s="125"/>
      <c r="D79" s="125"/>
      <c r="E79" s="53">
        <v>2381</v>
      </c>
      <c r="F79" s="51" t="s">
        <v>3</v>
      </c>
      <c r="G79" s="66">
        <v>117459.99</v>
      </c>
      <c r="H79" s="66">
        <v>0</v>
      </c>
      <c r="I79" s="66">
        <v>0</v>
      </c>
      <c r="J79" s="126">
        <v>76555.73</v>
      </c>
      <c r="K79" s="66">
        <v>117459.99</v>
      </c>
      <c r="L79" s="56" t="s">
        <v>307</v>
      </c>
      <c r="M79" s="12"/>
      <c r="N79" s="671"/>
      <c r="O79" s="58"/>
      <c r="R79" s="43"/>
      <c r="S79" s="43"/>
      <c r="T79" s="43"/>
      <c r="U79" s="60"/>
      <c r="V79" s="60"/>
      <c r="W79" s="43"/>
    </row>
    <row r="80" spans="1:23" ht="30" customHeight="1" x14ac:dyDescent="0.25">
      <c r="A80" s="51" t="s">
        <v>318</v>
      </c>
      <c r="B80" s="125" t="s">
        <v>319</v>
      </c>
      <c r="C80" s="125"/>
      <c r="D80" s="125"/>
      <c r="E80" s="53">
        <v>694.44</v>
      </c>
      <c r="F80" s="51" t="s">
        <v>307</v>
      </c>
      <c r="G80" s="66">
        <v>0</v>
      </c>
      <c r="H80" s="66">
        <v>610.66</v>
      </c>
      <c r="I80" s="66">
        <v>1076.46</v>
      </c>
      <c r="J80" s="126">
        <v>1008.88</v>
      </c>
      <c r="K80" s="66">
        <v>1687.12</v>
      </c>
      <c r="L80" s="56" t="s">
        <v>7</v>
      </c>
      <c r="M80" s="12"/>
      <c r="N80" s="671"/>
      <c r="R80" s="43"/>
      <c r="S80" s="43"/>
      <c r="T80" s="43"/>
      <c r="U80" s="60"/>
      <c r="V80" s="60"/>
      <c r="W80" s="43"/>
    </row>
    <row r="81" spans="1:23" ht="30" customHeight="1" x14ac:dyDescent="0.25">
      <c r="A81" s="51" t="s">
        <v>320</v>
      </c>
      <c r="B81" s="125" t="s">
        <v>355</v>
      </c>
      <c r="C81" s="125"/>
      <c r="D81" s="125"/>
      <c r="E81" s="53">
        <v>1023.83</v>
      </c>
      <c r="F81" s="51" t="s">
        <v>7</v>
      </c>
      <c r="G81" s="66">
        <v>1713.22</v>
      </c>
      <c r="H81" s="66">
        <v>4988.78</v>
      </c>
      <c r="I81" s="66">
        <v>0</v>
      </c>
      <c r="J81" s="126">
        <v>3626.95</v>
      </c>
      <c r="K81" s="66">
        <v>6702</v>
      </c>
      <c r="L81" s="56" t="s">
        <v>7</v>
      </c>
      <c r="M81" s="12"/>
      <c r="N81" s="671"/>
      <c r="R81" s="43"/>
      <c r="S81" s="43"/>
      <c r="T81" s="43"/>
      <c r="U81" s="60"/>
      <c r="V81" s="60"/>
      <c r="W81" s="43"/>
    </row>
    <row r="82" spans="1:23" ht="30" customHeight="1" x14ac:dyDescent="0.25">
      <c r="A82" s="51" t="s">
        <v>324</v>
      </c>
      <c r="B82" s="125" t="s">
        <v>356</v>
      </c>
      <c r="C82" s="125"/>
      <c r="D82" s="125"/>
      <c r="E82" s="53">
        <v>238.1</v>
      </c>
      <c r="F82" s="51" t="s">
        <v>7</v>
      </c>
      <c r="G82" s="66">
        <v>771.72</v>
      </c>
      <c r="H82" s="66">
        <v>3787.89</v>
      </c>
      <c r="I82" s="66">
        <v>0</v>
      </c>
      <c r="J82" s="126">
        <v>2409.0300000000002</v>
      </c>
      <c r="K82" s="66">
        <v>4559.6099999999997</v>
      </c>
      <c r="L82" s="56" t="s">
        <v>7</v>
      </c>
      <c r="M82" s="12"/>
      <c r="N82" s="671"/>
      <c r="R82" s="43"/>
      <c r="S82" s="43"/>
      <c r="T82" s="43"/>
      <c r="U82" s="60"/>
      <c r="V82" s="60"/>
      <c r="W82" s="43"/>
    </row>
    <row r="83" spans="1:23" ht="30" customHeight="1" x14ac:dyDescent="0.25">
      <c r="A83" s="51"/>
      <c r="B83" s="96"/>
      <c r="C83" s="96"/>
      <c r="D83" s="96"/>
      <c r="E83" s="97"/>
      <c r="F83" s="51"/>
      <c r="G83" s="132"/>
      <c r="H83" s="90"/>
      <c r="I83" s="133" t="s">
        <v>357</v>
      </c>
      <c r="J83" s="134">
        <f>SUM(J73:J82)</f>
        <v>241741.89000000004</v>
      </c>
      <c r="K83" s="1973">
        <v>389799.86449673423</v>
      </c>
      <c r="L83" s="67" t="s">
        <v>335</v>
      </c>
      <c r="M83" s="12"/>
      <c r="N83" s="1541"/>
      <c r="O83" s="135"/>
      <c r="R83" s="43"/>
      <c r="S83" s="43"/>
      <c r="T83" s="43"/>
      <c r="U83" s="60"/>
      <c r="V83" s="60"/>
      <c r="W83" s="43"/>
    </row>
    <row r="84" spans="1:23" ht="30" customHeight="1" thickBot="1" x14ac:dyDescent="0.3">
      <c r="A84" s="51"/>
      <c r="B84" s="96"/>
      <c r="C84" s="96"/>
      <c r="D84" s="96"/>
      <c r="E84" s="97"/>
      <c r="F84" s="51"/>
      <c r="G84" s="98"/>
      <c r="H84" s="64"/>
      <c r="I84" s="136"/>
      <c r="J84" s="1971" t="s">
        <v>358</v>
      </c>
      <c r="K84" s="1972">
        <f>+K83/F71</f>
        <v>103.06712440421317</v>
      </c>
      <c r="L84" s="51" t="s">
        <v>3</v>
      </c>
      <c r="M84" s="12"/>
      <c r="N84" s="671"/>
      <c r="R84" s="43"/>
      <c r="S84" s="43"/>
      <c r="T84" s="43"/>
      <c r="U84" s="60"/>
      <c r="V84" s="60"/>
      <c r="W84" s="43"/>
    </row>
    <row r="85" spans="1:23" ht="30" customHeight="1" thickBot="1" x14ac:dyDescent="0.3">
      <c r="A85" s="76"/>
      <c r="B85" s="77"/>
      <c r="C85" s="77"/>
      <c r="D85" s="77"/>
      <c r="E85" s="77"/>
      <c r="F85" s="77"/>
      <c r="G85" s="77"/>
      <c r="H85" s="77"/>
      <c r="I85" s="77"/>
      <c r="J85" s="77"/>
      <c r="K85" s="77"/>
      <c r="L85" s="78"/>
      <c r="M85" s="12"/>
      <c r="N85" s="671"/>
      <c r="R85" s="43"/>
      <c r="S85" s="43"/>
      <c r="T85" s="43"/>
      <c r="U85" s="60"/>
      <c r="V85" s="60"/>
      <c r="W85" s="43"/>
    </row>
    <row r="86" spans="1:23" ht="45" customHeight="1" x14ac:dyDescent="0.25">
      <c r="A86" s="30" t="s">
        <v>288</v>
      </c>
      <c r="B86" s="31">
        <v>1112</v>
      </c>
      <c r="C86" s="121" t="s">
        <v>359</v>
      </c>
      <c r="D86" s="122"/>
      <c r="E86" s="123" t="s">
        <v>354</v>
      </c>
      <c r="F86" s="124">
        <v>5344</v>
      </c>
      <c r="G86" s="36" t="s">
        <v>291</v>
      </c>
      <c r="H86" s="37" t="s">
        <v>3</v>
      </c>
      <c r="I86" s="36" t="s">
        <v>292</v>
      </c>
      <c r="J86" s="38" t="s">
        <v>3381</v>
      </c>
      <c r="K86" s="39"/>
      <c r="L86" s="40"/>
      <c r="P86" s="43"/>
      <c r="Q86" s="43"/>
      <c r="R86" s="43"/>
      <c r="S86" s="60"/>
      <c r="T86" s="60"/>
      <c r="U86" s="43"/>
    </row>
    <row r="87" spans="1:23" s="49" customFormat="1" ht="30" customHeight="1" x14ac:dyDescent="0.25">
      <c r="A87" s="44" t="s">
        <v>294</v>
      </c>
      <c r="B87" s="45" t="s">
        <v>295</v>
      </c>
      <c r="C87" s="45"/>
      <c r="D87" s="45"/>
      <c r="E87" s="44" t="s">
        <v>296</v>
      </c>
      <c r="F87" s="44" t="s">
        <v>2</v>
      </c>
      <c r="G87" s="46" t="s">
        <v>297</v>
      </c>
      <c r="H87" s="46" t="s">
        <v>298</v>
      </c>
      <c r="I87" s="46" t="s">
        <v>299</v>
      </c>
      <c r="J87" s="47" t="s">
        <v>300</v>
      </c>
      <c r="K87" s="47" t="s">
        <v>301</v>
      </c>
      <c r="L87" s="94"/>
      <c r="M87" s="502"/>
      <c r="N87" s="502"/>
      <c r="O87" s="27"/>
      <c r="P87" s="50"/>
      <c r="Q87" s="50"/>
      <c r="R87" s="50"/>
      <c r="S87" s="50"/>
      <c r="T87" s="50"/>
      <c r="U87" s="50"/>
    </row>
    <row r="88" spans="1:23" ht="30" customHeight="1" x14ac:dyDescent="0.25">
      <c r="A88" s="51" t="s">
        <v>302</v>
      </c>
      <c r="B88" s="129" t="s">
        <v>303</v>
      </c>
      <c r="C88" s="130"/>
      <c r="D88" s="131"/>
      <c r="E88" s="53">
        <v>20866.060000000001</v>
      </c>
      <c r="F88" s="51" t="s">
        <v>3</v>
      </c>
      <c r="G88" s="66">
        <v>0</v>
      </c>
      <c r="H88" s="66">
        <v>9333.39</v>
      </c>
      <c r="I88" s="66">
        <v>11755.89</v>
      </c>
      <c r="J88" s="126">
        <v>12358.55</v>
      </c>
      <c r="K88" s="66">
        <v>21089.27</v>
      </c>
      <c r="L88" s="56" t="s">
        <v>3</v>
      </c>
      <c r="M88" s="1886"/>
      <c r="N88" s="1886"/>
      <c r="R88" s="43"/>
      <c r="S88" s="43"/>
      <c r="T88" s="43"/>
      <c r="U88" s="60"/>
      <c r="V88" s="60"/>
      <c r="W88" s="43"/>
    </row>
    <row r="89" spans="1:23" ht="30" customHeight="1" x14ac:dyDescent="0.25">
      <c r="A89" s="51" t="s">
        <v>308</v>
      </c>
      <c r="B89" s="129" t="s">
        <v>309</v>
      </c>
      <c r="C89" s="130"/>
      <c r="D89" s="131"/>
      <c r="E89" s="53">
        <v>5788.65</v>
      </c>
      <c r="F89" s="51" t="s">
        <v>307</v>
      </c>
      <c r="G89" s="66">
        <v>209435.79</v>
      </c>
      <c r="H89" s="66">
        <v>0</v>
      </c>
      <c r="I89" s="66">
        <v>0</v>
      </c>
      <c r="J89" s="126">
        <v>136501.88</v>
      </c>
      <c r="K89" s="66">
        <v>209435.79</v>
      </c>
      <c r="L89" s="56" t="s">
        <v>307</v>
      </c>
      <c r="M89" s="12"/>
      <c r="N89" s="671"/>
      <c r="R89" s="43"/>
      <c r="S89" s="43"/>
      <c r="T89" s="43"/>
      <c r="U89" s="60"/>
      <c r="V89" s="60"/>
      <c r="W89" s="43"/>
    </row>
    <row r="90" spans="1:23" ht="30" customHeight="1" x14ac:dyDescent="0.25">
      <c r="A90" s="51" t="s">
        <v>310</v>
      </c>
      <c r="B90" s="129" t="s">
        <v>311</v>
      </c>
      <c r="C90" s="130"/>
      <c r="D90" s="131"/>
      <c r="E90" s="53">
        <v>7821</v>
      </c>
      <c r="F90" s="51" t="s">
        <v>3</v>
      </c>
      <c r="G90" s="66">
        <v>26174.45</v>
      </c>
      <c r="H90" s="66">
        <v>3664.42</v>
      </c>
      <c r="I90" s="66">
        <v>5111.92</v>
      </c>
      <c r="J90" s="126">
        <v>22235.13</v>
      </c>
      <c r="K90" s="66">
        <v>34950.79</v>
      </c>
      <c r="L90" s="56" t="s">
        <v>3</v>
      </c>
      <c r="M90" s="12"/>
      <c r="N90" s="671"/>
      <c r="R90" s="43"/>
      <c r="S90" s="43"/>
      <c r="T90" s="43"/>
      <c r="U90" s="60"/>
      <c r="V90" s="60"/>
      <c r="W90" s="43"/>
    </row>
    <row r="91" spans="1:23" ht="30" customHeight="1" x14ac:dyDescent="0.25">
      <c r="A91" s="51" t="s">
        <v>360</v>
      </c>
      <c r="B91" s="138" t="s">
        <v>361</v>
      </c>
      <c r="C91" s="139"/>
      <c r="D91" s="140"/>
      <c r="E91" s="53">
        <v>1231.81</v>
      </c>
      <c r="F91" s="51" t="s">
        <v>362</v>
      </c>
      <c r="G91" s="66">
        <v>132588.03</v>
      </c>
      <c r="H91" s="66">
        <v>10241.44</v>
      </c>
      <c r="I91" s="66">
        <v>7405.68</v>
      </c>
      <c r="J91" s="126">
        <v>96395.77</v>
      </c>
      <c r="K91" s="66">
        <v>150235.15</v>
      </c>
      <c r="L91" s="56" t="s">
        <v>362</v>
      </c>
      <c r="M91" s="12"/>
      <c r="N91" s="671"/>
      <c r="R91" s="43"/>
      <c r="S91" s="43"/>
      <c r="T91" s="43"/>
      <c r="U91" s="60"/>
      <c r="V91" s="60"/>
      <c r="W91" s="43"/>
    </row>
    <row r="92" spans="1:23" ht="30" customHeight="1" x14ac:dyDescent="0.25">
      <c r="A92" s="51"/>
      <c r="B92" s="141"/>
      <c r="C92" s="142"/>
      <c r="D92" s="143"/>
      <c r="E92" s="97"/>
      <c r="F92" s="51"/>
      <c r="G92" s="144"/>
      <c r="H92" s="132"/>
      <c r="I92" s="145" t="s">
        <v>363</v>
      </c>
      <c r="J92" s="146">
        <f>SUM(J88:J91)</f>
        <v>267491.33</v>
      </c>
      <c r="K92" s="1974">
        <f>K88+K89+K90+K91</f>
        <v>415711</v>
      </c>
      <c r="L92" s="147" t="s">
        <v>335</v>
      </c>
      <c r="M92" s="12"/>
      <c r="N92" s="671"/>
      <c r="R92" s="43"/>
      <c r="S92" s="43"/>
      <c r="T92" s="43"/>
      <c r="U92" s="60"/>
      <c r="V92" s="60"/>
      <c r="W92" s="43"/>
    </row>
    <row r="93" spans="1:23" ht="30" customHeight="1" x14ac:dyDescent="0.25">
      <c r="A93" s="148" t="s">
        <v>364</v>
      </c>
      <c r="B93" s="148"/>
      <c r="C93" s="148"/>
      <c r="D93" s="148"/>
      <c r="E93" s="148"/>
      <c r="F93" s="63"/>
      <c r="G93" s="149"/>
      <c r="H93" s="63"/>
      <c r="I93" s="150"/>
      <c r="J93" s="136" t="s">
        <v>365</v>
      </c>
      <c r="K93" s="151">
        <f>+K92/F86</f>
        <v>77.790232035928142</v>
      </c>
      <c r="L93" s="61" t="s">
        <v>3</v>
      </c>
      <c r="P93" s="43"/>
      <c r="Q93" s="43"/>
      <c r="R93" s="43"/>
      <c r="S93" s="60"/>
      <c r="T93" s="60"/>
      <c r="U93" s="43"/>
    </row>
    <row r="94" spans="1:23" ht="30" customHeight="1" x14ac:dyDescent="0.25">
      <c r="A94" s="148"/>
      <c r="B94" s="148"/>
      <c r="C94" s="148"/>
      <c r="D94" s="148"/>
      <c r="E94" s="148"/>
      <c r="F94" s="152" t="s">
        <v>366</v>
      </c>
      <c r="G94" s="153"/>
      <c r="H94" s="89" t="s">
        <v>367</v>
      </c>
      <c r="I94" s="154">
        <f>235/361</f>
        <v>0.65096952908587258</v>
      </c>
      <c r="J94" s="136" t="s">
        <v>368</v>
      </c>
      <c r="K94" s="151">
        <f>+K84</f>
        <v>103.06712440421317</v>
      </c>
      <c r="L94" s="61" t="s">
        <v>3</v>
      </c>
      <c r="P94" s="43"/>
      <c r="Q94" s="43"/>
      <c r="R94" s="43"/>
      <c r="S94" s="60"/>
      <c r="T94" s="60"/>
      <c r="U94" s="43"/>
    </row>
    <row r="95" spans="1:23" ht="30" customHeight="1" x14ac:dyDescent="0.25">
      <c r="A95" s="148"/>
      <c r="B95" s="148"/>
      <c r="C95" s="148"/>
      <c r="D95" s="148"/>
      <c r="E95" s="148"/>
      <c r="F95" s="155"/>
      <c r="G95" s="156"/>
      <c r="H95" s="89" t="s">
        <v>369</v>
      </c>
      <c r="I95" s="154">
        <f>126/361</f>
        <v>0.34903047091412742</v>
      </c>
      <c r="J95" s="136" t="s">
        <v>365</v>
      </c>
      <c r="K95" s="151">
        <f>+K93</f>
        <v>77.790232035928142</v>
      </c>
      <c r="L95" s="61" t="s">
        <v>3</v>
      </c>
      <c r="P95" s="43"/>
      <c r="Q95" s="43"/>
      <c r="R95" s="43"/>
      <c r="S95" s="60"/>
      <c r="T95" s="60"/>
      <c r="U95" s="43"/>
    </row>
    <row r="96" spans="1:23" ht="30" customHeight="1" thickBot="1" x14ac:dyDescent="0.3">
      <c r="A96" s="148"/>
      <c r="B96" s="148"/>
      <c r="C96" s="148"/>
      <c r="D96" s="148"/>
      <c r="E96" s="148"/>
      <c r="F96" s="65"/>
      <c r="G96" s="65"/>
      <c r="H96" s="157"/>
      <c r="I96" s="158"/>
      <c r="J96" s="159" t="s">
        <v>352</v>
      </c>
      <c r="K96" s="151">
        <f>+K94*I94+K95*I95</f>
        <v>94.244718757664941</v>
      </c>
      <c r="L96" s="61" t="s">
        <v>3</v>
      </c>
      <c r="P96" s="43"/>
      <c r="Q96" s="43"/>
      <c r="R96" s="43"/>
      <c r="S96" s="60"/>
      <c r="T96" s="60"/>
      <c r="U96" s="43"/>
    </row>
    <row r="97" spans="1:21" ht="30" customHeight="1" thickBot="1" x14ac:dyDescent="0.3">
      <c r="A97" s="76"/>
      <c r="B97" s="77"/>
      <c r="C97" s="77"/>
      <c r="D97" s="77"/>
      <c r="E97" s="77"/>
      <c r="F97" s="77"/>
      <c r="G97" s="77"/>
      <c r="H97" s="77"/>
      <c r="I97" s="77"/>
      <c r="J97" s="77"/>
      <c r="K97" s="77"/>
      <c r="L97" s="78"/>
      <c r="P97" s="43"/>
      <c r="Q97" s="43"/>
      <c r="R97" s="43"/>
      <c r="S97" s="60"/>
      <c r="T97" s="60"/>
      <c r="U97" s="43"/>
    </row>
    <row r="98" spans="1:21" ht="30" customHeight="1" x14ac:dyDescent="0.25">
      <c r="A98" s="30" t="s">
        <v>288</v>
      </c>
      <c r="B98" s="31">
        <v>1113</v>
      </c>
      <c r="C98" s="161" t="s">
        <v>370</v>
      </c>
      <c r="D98" s="162"/>
      <c r="E98" s="36" t="s">
        <v>291</v>
      </c>
      <c r="F98" s="37" t="s">
        <v>3</v>
      </c>
      <c r="G98" s="163" t="s">
        <v>290</v>
      </c>
      <c r="H98" s="164">
        <v>33333</v>
      </c>
      <c r="I98" s="36" t="s">
        <v>292</v>
      </c>
      <c r="J98" s="38" t="s">
        <v>293</v>
      </c>
      <c r="K98" s="39"/>
      <c r="L98" s="40"/>
    </row>
    <row r="99" spans="1:21" s="49" customFormat="1" ht="30" customHeight="1" x14ac:dyDescent="0.25">
      <c r="A99" s="44" t="s">
        <v>294</v>
      </c>
      <c r="B99" s="45" t="s">
        <v>295</v>
      </c>
      <c r="C99" s="45"/>
      <c r="D99" s="45"/>
      <c r="E99" s="44" t="s">
        <v>296</v>
      </c>
      <c r="F99" s="44" t="s">
        <v>2</v>
      </c>
      <c r="G99" s="46" t="s">
        <v>297</v>
      </c>
      <c r="H99" s="46" t="s">
        <v>298</v>
      </c>
      <c r="I99" s="46" t="s">
        <v>299</v>
      </c>
      <c r="J99" s="47" t="s">
        <v>300</v>
      </c>
      <c r="K99" s="47" t="s">
        <v>301</v>
      </c>
      <c r="L99" s="48"/>
      <c r="M99" s="502"/>
      <c r="N99" s="502"/>
      <c r="O99" s="27"/>
    </row>
    <row r="100" spans="1:21" ht="30" customHeight="1" x14ac:dyDescent="0.25">
      <c r="A100" s="51" t="s">
        <v>302</v>
      </c>
      <c r="B100" s="52" t="s">
        <v>303</v>
      </c>
      <c r="C100" s="52"/>
      <c r="D100" s="52"/>
      <c r="E100" s="53">
        <v>33333</v>
      </c>
      <c r="F100" s="51" t="s">
        <v>3</v>
      </c>
      <c r="G100" s="66">
        <v>0</v>
      </c>
      <c r="H100" s="66">
        <v>26766.639999999999</v>
      </c>
      <c r="I100" s="66">
        <v>17204.52</v>
      </c>
      <c r="J100" s="55">
        <v>24682.12</v>
      </c>
      <c r="K100" s="66">
        <v>43971.16</v>
      </c>
      <c r="L100" s="56" t="s">
        <v>3</v>
      </c>
    </row>
    <row r="101" spans="1:21" ht="30" customHeight="1" x14ac:dyDescent="0.25">
      <c r="A101" s="51" t="s">
        <v>305</v>
      </c>
      <c r="B101" s="52" t="s">
        <v>306</v>
      </c>
      <c r="C101" s="52"/>
      <c r="D101" s="52"/>
      <c r="E101" s="53">
        <v>11110</v>
      </c>
      <c r="F101" s="51" t="s">
        <v>307</v>
      </c>
      <c r="G101" s="66">
        <v>743735.75</v>
      </c>
      <c r="H101" s="66">
        <v>235462.47</v>
      </c>
      <c r="I101" s="66">
        <v>81294.8</v>
      </c>
      <c r="J101" s="55">
        <v>656205.96</v>
      </c>
      <c r="K101" s="66">
        <v>1060493.01</v>
      </c>
      <c r="L101" s="56" t="s">
        <v>307</v>
      </c>
    </row>
    <row r="102" spans="1:21" ht="30" customHeight="1" x14ac:dyDescent="0.25">
      <c r="A102" s="51" t="s">
        <v>308</v>
      </c>
      <c r="B102" s="52" t="s">
        <v>309</v>
      </c>
      <c r="C102" s="52"/>
      <c r="D102" s="52"/>
      <c r="E102" s="53">
        <v>11609.88</v>
      </c>
      <c r="F102" s="51" t="s">
        <v>307</v>
      </c>
      <c r="G102" s="66">
        <v>523366.44</v>
      </c>
      <c r="H102" s="66">
        <v>0</v>
      </c>
      <c r="I102" s="66">
        <v>0</v>
      </c>
      <c r="J102" s="55">
        <v>341109.33</v>
      </c>
      <c r="K102" s="66">
        <v>523366.44</v>
      </c>
      <c r="L102" s="56" t="s">
        <v>307</v>
      </c>
    </row>
    <row r="103" spans="1:21" ht="30" customHeight="1" x14ac:dyDescent="0.25">
      <c r="A103" s="51" t="s">
        <v>310</v>
      </c>
      <c r="B103" s="52" t="s">
        <v>311</v>
      </c>
      <c r="C103" s="52"/>
      <c r="D103" s="52"/>
      <c r="E103" s="53">
        <v>33333</v>
      </c>
      <c r="F103" s="51" t="s">
        <v>3</v>
      </c>
      <c r="G103" s="66">
        <v>87152.639999999999</v>
      </c>
      <c r="H103" s="66">
        <v>27391.83</v>
      </c>
      <c r="I103" s="66">
        <v>11681.07</v>
      </c>
      <c r="J103" s="55">
        <v>78199.350000000006</v>
      </c>
      <c r="K103" s="66">
        <v>126225.55</v>
      </c>
      <c r="L103" s="56" t="s">
        <v>3</v>
      </c>
    </row>
    <row r="104" spans="1:21" ht="30" customHeight="1" x14ac:dyDescent="0.25">
      <c r="A104" s="51" t="s">
        <v>360</v>
      </c>
      <c r="B104" s="52" t="s">
        <v>371</v>
      </c>
      <c r="C104" s="52"/>
      <c r="D104" s="52"/>
      <c r="E104" s="53">
        <v>7286</v>
      </c>
      <c r="F104" s="51" t="s">
        <v>362</v>
      </c>
      <c r="G104" s="66">
        <v>793203.18</v>
      </c>
      <c r="H104" s="66">
        <v>107880.73</v>
      </c>
      <c r="I104" s="66">
        <v>34003.050000000003</v>
      </c>
      <c r="J104" s="55">
        <v>593425.22</v>
      </c>
      <c r="K104" s="66">
        <v>935086.95</v>
      </c>
      <c r="L104" s="56" t="s">
        <v>362</v>
      </c>
    </row>
    <row r="105" spans="1:21" ht="30" customHeight="1" x14ac:dyDescent="0.25">
      <c r="A105" s="51" t="s">
        <v>338</v>
      </c>
      <c r="B105" s="52" t="s">
        <v>372</v>
      </c>
      <c r="C105" s="52"/>
      <c r="D105" s="52"/>
      <c r="E105" s="53">
        <v>12133</v>
      </c>
      <c r="F105" s="51" t="s">
        <v>3</v>
      </c>
      <c r="G105" s="66">
        <v>123902.04</v>
      </c>
      <c r="H105" s="66">
        <v>353359.66</v>
      </c>
      <c r="I105" s="66">
        <v>56310.77</v>
      </c>
      <c r="J105" s="55">
        <v>295265.06</v>
      </c>
      <c r="K105" s="66">
        <v>533572.47</v>
      </c>
      <c r="L105" s="56" t="s">
        <v>3</v>
      </c>
    </row>
    <row r="106" spans="1:21" ht="30" customHeight="1" x14ac:dyDescent="0.25">
      <c r="A106" s="51" t="s">
        <v>316</v>
      </c>
      <c r="B106" s="52" t="s">
        <v>317</v>
      </c>
      <c r="C106" s="52"/>
      <c r="D106" s="52"/>
      <c r="E106" s="53">
        <v>2864.68</v>
      </c>
      <c r="F106" s="51" t="s">
        <v>307</v>
      </c>
      <c r="G106" s="66">
        <v>482976.35</v>
      </c>
      <c r="H106" s="66">
        <v>0</v>
      </c>
      <c r="I106" s="66">
        <v>0</v>
      </c>
      <c r="J106" s="55">
        <v>314784.68</v>
      </c>
      <c r="K106" s="66">
        <v>482976.35</v>
      </c>
      <c r="L106" s="56" t="s">
        <v>307</v>
      </c>
    </row>
    <row r="107" spans="1:21" ht="30" customHeight="1" x14ac:dyDescent="0.25">
      <c r="A107" s="51" t="s">
        <v>318</v>
      </c>
      <c r="B107" s="52" t="s">
        <v>319</v>
      </c>
      <c r="C107" s="52"/>
      <c r="D107" s="52"/>
      <c r="E107" s="53">
        <v>2864.68</v>
      </c>
      <c r="F107" s="51" t="s">
        <v>307</v>
      </c>
      <c r="G107" s="66">
        <v>0</v>
      </c>
      <c r="H107" s="66">
        <v>4037.44</v>
      </c>
      <c r="I107" s="66">
        <v>6138.47</v>
      </c>
      <c r="J107" s="55">
        <v>6032.44</v>
      </c>
      <c r="K107" s="66">
        <v>10175.91</v>
      </c>
      <c r="L107" s="56" t="s">
        <v>307</v>
      </c>
    </row>
    <row r="108" spans="1:21" ht="30" customHeight="1" x14ac:dyDescent="0.25">
      <c r="A108" s="51" t="s">
        <v>324</v>
      </c>
      <c r="B108" s="52" t="s">
        <v>356</v>
      </c>
      <c r="C108" s="52"/>
      <c r="D108" s="52"/>
      <c r="E108" s="53">
        <v>2865</v>
      </c>
      <c r="F108" s="51" t="s">
        <v>7</v>
      </c>
      <c r="G108" s="66">
        <v>10116.94</v>
      </c>
      <c r="H108" s="66">
        <v>76806.070000000007</v>
      </c>
      <c r="I108" s="66">
        <v>0</v>
      </c>
      <c r="J108" s="55">
        <v>45242.41</v>
      </c>
      <c r="K108" s="66">
        <v>86923.02</v>
      </c>
      <c r="L108" s="56" t="s">
        <v>7</v>
      </c>
    </row>
    <row r="109" spans="1:21" ht="30" customHeight="1" x14ac:dyDescent="0.25">
      <c r="A109" s="165" t="s">
        <v>373</v>
      </c>
      <c r="B109" s="99"/>
      <c r="C109" s="99"/>
      <c r="D109" s="166"/>
      <c r="E109" s="97"/>
      <c r="F109" s="51"/>
      <c r="G109" s="167"/>
      <c r="H109" s="167"/>
      <c r="I109" s="167"/>
      <c r="J109" s="168">
        <v>2354946.5700000003</v>
      </c>
      <c r="K109" s="169">
        <v>3802790.8545583109</v>
      </c>
      <c r="L109" s="67" t="s">
        <v>335</v>
      </c>
    </row>
    <row r="110" spans="1:21" ht="30" customHeight="1" x14ac:dyDescent="0.25">
      <c r="A110" s="170"/>
      <c r="B110" s="104"/>
      <c r="C110" s="104"/>
      <c r="D110" s="171"/>
      <c r="E110" s="63"/>
      <c r="F110" s="63"/>
      <c r="G110" s="89"/>
      <c r="H110" s="172"/>
      <c r="I110" s="132"/>
      <c r="J110" s="1971" t="s">
        <v>358</v>
      </c>
      <c r="K110" s="103">
        <v>114.08486648541418</v>
      </c>
      <c r="L110" s="147" t="s">
        <v>3</v>
      </c>
    </row>
    <row r="111" spans="1:21" ht="33.75" customHeight="1" thickBot="1" x14ac:dyDescent="0.3">
      <c r="A111" s="174"/>
      <c r="B111" s="175"/>
      <c r="C111" s="175"/>
      <c r="D111" s="176"/>
      <c r="E111" s="63"/>
      <c r="F111" s="63"/>
      <c r="G111" s="63"/>
      <c r="H111" s="63"/>
      <c r="I111" s="63"/>
      <c r="J111" s="98"/>
      <c r="K111" s="98"/>
      <c r="L111" s="51"/>
    </row>
    <row r="112" spans="1:21" ht="30" customHeight="1" thickBot="1" x14ac:dyDescent="0.3">
      <c r="A112" s="76"/>
      <c r="B112" s="77"/>
      <c r="C112" s="77"/>
      <c r="D112" s="77"/>
      <c r="E112" s="77"/>
      <c r="F112" s="77"/>
      <c r="G112" s="77"/>
      <c r="H112" s="77"/>
      <c r="I112" s="77"/>
      <c r="J112" s="77"/>
      <c r="K112" s="77"/>
      <c r="L112" s="78"/>
      <c r="P112" s="43"/>
      <c r="Q112" s="43"/>
      <c r="R112" s="43"/>
      <c r="S112" s="60"/>
      <c r="T112" s="60"/>
      <c r="U112" s="43"/>
    </row>
    <row r="113" spans="1:21" ht="30" customHeight="1" x14ac:dyDescent="0.25">
      <c r="A113" s="207" t="s">
        <v>288</v>
      </c>
      <c r="B113" s="208">
        <v>1114</v>
      </c>
      <c r="C113" s="209" t="s">
        <v>374</v>
      </c>
      <c r="D113" s="210"/>
      <c r="E113" s="177" t="s">
        <v>291</v>
      </c>
      <c r="F113" s="178" t="s">
        <v>3</v>
      </c>
      <c r="G113" s="123" t="s">
        <v>375</v>
      </c>
      <c r="H113" s="179">
        <v>71450</v>
      </c>
      <c r="I113" s="177" t="s">
        <v>292</v>
      </c>
      <c r="J113" s="38" t="s">
        <v>293</v>
      </c>
      <c r="K113" s="39"/>
      <c r="L113" s="40"/>
    </row>
    <row r="114" spans="1:21" s="49" customFormat="1" ht="30" customHeight="1" x14ac:dyDescent="0.25">
      <c r="A114" s="44" t="s">
        <v>294</v>
      </c>
      <c r="B114" s="180" t="s">
        <v>295</v>
      </c>
      <c r="C114" s="180"/>
      <c r="D114" s="180"/>
      <c r="E114" s="181" t="s">
        <v>296</v>
      </c>
      <c r="F114" s="181" t="s">
        <v>2</v>
      </c>
      <c r="G114" s="182" t="s">
        <v>297</v>
      </c>
      <c r="H114" s="182" t="s">
        <v>298</v>
      </c>
      <c r="I114" s="182" t="s">
        <v>299</v>
      </c>
      <c r="J114" s="183" t="s">
        <v>300</v>
      </c>
      <c r="K114" s="184" t="s">
        <v>301</v>
      </c>
      <c r="L114" s="185"/>
      <c r="M114" s="502"/>
      <c r="N114" s="502"/>
      <c r="O114" s="27"/>
    </row>
    <row r="115" spans="1:21" ht="30" customHeight="1" x14ac:dyDescent="0.25">
      <c r="A115" s="61" t="s">
        <v>376</v>
      </c>
      <c r="B115" s="186" t="s">
        <v>377</v>
      </c>
      <c r="C115" s="186"/>
      <c r="D115" s="186"/>
      <c r="E115" s="187">
        <v>247066.67</v>
      </c>
      <c r="F115" s="20" t="s">
        <v>3</v>
      </c>
      <c r="G115" s="1987">
        <v>0</v>
      </c>
      <c r="H115" s="1987">
        <v>101.22</v>
      </c>
      <c r="I115" s="1987">
        <v>75.349999999999994</v>
      </c>
      <c r="J115" s="189">
        <v>100.66</v>
      </c>
      <c r="K115" s="1987">
        <v>176.56</v>
      </c>
      <c r="L115" s="190" t="s">
        <v>3</v>
      </c>
    </row>
    <row r="116" spans="1:21" ht="30" customHeight="1" x14ac:dyDescent="0.25">
      <c r="A116" s="61" t="s">
        <v>378</v>
      </c>
      <c r="B116" s="186" t="s">
        <v>379</v>
      </c>
      <c r="C116" s="186"/>
      <c r="D116" s="186"/>
      <c r="E116" s="187">
        <v>174400</v>
      </c>
      <c r="F116" s="20" t="s">
        <v>3</v>
      </c>
      <c r="G116" s="1987">
        <v>0</v>
      </c>
      <c r="H116" s="1987">
        <v>204086.05</v>
      </c>
      <c r="I116" s="1987">
        <v>100839.16</v>
      </c>
      <c r="J116" s="189">
        <v>169467.92</v>
      </c>
      <c r="K116" s="1987">
        <v>304925.21999999997</v>
      </c>
      <c r="L116" s="190" t="s">
        <v>3</v>
      </c>
    </row>
    <row r="117" spans="1:21" ht="30" customHeight="1" x14ac:dyDescent="0.25">
      <c r="A117" s="61" t="s">
        <v>380</v>
      </c>
      <c r="B117" s="191" t="s">
        <v>381</v>
      </c>
      <c r="C117" s="191"/>
      <c r="D117" s="191"/>
      <c r="E117" s="187">
        <v>32296.3</v>
      </c>
      <c r="F117" s="20" t="s">
        <v>307</v>
      </c>
      <c r="G117" s="1987">
        <v>0</v>
      </c>
      <c r="H117" s="1987">
        <v>212790.6</v>
      </c>
      <c r="I117" s="1987">
        <v>188009.75</v>
      </c>
      <c r="J117" s="189">
        <v>231043.65</v>
      </c>
      <c r="K117" s="1987">
        <v>400800.35</v>
      </c>
      <c r="L117" s="190" t="s">
        <v>307</v>
      </c>
    </row>
    <row r="118" spans="1:21" ht="30" customHeight="1" x14ac:dyDescent="0.25">
      <c r="A118" s="61" t="s">
        <v>382</v>
      </c>
      <c r="B118" s="191" t="s">
        <v>383</v>
      </c>
      <c r="C118" s="191"/>
      <c r="D118" s="191"/>
      <c r="E118" s="187">
        <v>41177.78</v>
      </c>
      <c r="F118" s="20" t="s">
        <v>307</v>
      </c>
      <c r="G118" s="1987">
        <v>0</v>
      </c>
      <c r="H118" s="1987">
        <v>190150.08</v>
      </c>
      <c r="I118" s="1987">
        <v>8614.5300000000007</v>
      </c>
      <c r="J118" s="189">
        <v>101928.79</v>
      </c>
      <c r="K118" s="1987">
        <v>198764.61</v>
      </c>
      <c r="L118" s="190" t="s">
        <v>307</v>
      </c>
    </row>
    <row r="119" spans="1:21" ht="30" customHeight="1" x14ac:dyDescent="0.25">
      <c r="A119" s="61" t="s">
        <v>308</v>
      </c>
      <c r="B119" s="192" t="s">
        <v>309</v>
      </c>
      <c r="C119" s="192"/>
      <c r="D119" s="192"/>
      <c r="E119" s="193">
        <v>32296.3</v>
      </c>
      <c r="F119" s="61" t="s">
        <v>307</v>
      </c>
      <c r="G119" s="1987">
        <v>1446881.85</v>
      </c>
      <c r="H119" s="1987">
        <v>0</v>
      </c>
      <c r="I119" s="1987">
        <v>0</v>
      </c>
      <c r="J119" s="189">
        <v>948896.05</v>
      </c>
      <c r="K119" s="1987">
        <v>1446881.85</v>
      </c>
      <c r="L119" s="194" t="s">
        <v>307</v>
      </c>
    </row>
    <row r="120" spans="1:21" ht="30" customHeight="1" x14ac:dyDescent="0.25">
      <c r="A120" s="195" t="s">
        <v>384</v>
      </c>
      <c r="B120" s="196"/>
      <c r="C120" s="196"/>
      <c r="D120" s="197"/>
      <c r="E120" s="198"/>
      <c r="F120" s="63"/>
      <c r="G120" s="189"/>
      <c r="H120" s="189"/>
      <c r="I120" s="189"/>
      <c r="J120" s="199">
        <v>1451437.07</v>
      </c>
      <c r="K120" s="200">
        <v>2351548.59</v>
      </c>
      <c r="L120" s="67" t="s">
        <v>335</v>
      </c>
    </row>
    <row r="121" spans="1:21" ht="30" customHeight="1" x14ac:dyDescent="0.25">
      <c r="A121" s="201"/>
      <c r="B121" s="202"/>
      <c r="C121" s="202"/>
      <c r="D121" s="203"/>
      <c r="E121" s="18"/>
      <c r="F121" s="18"/>
      <c r="G121" s="1845"/>
      <c r="H121" s="1846"/>
      <c r="I121" s="132"/>
      <c r="J121" s="1970" t="s">
        <v>358</v>
      </c>
      <c r="K121" s="103">
        <f>+K120/H113</f>
        <v>32.911806717984604</v>
      </c>
      <c r="L121" s="147" t="s">
        <v>3</v>
      </c>
    </row>
    <row r="122" spans="1:21" ht="30" customHeight="1" thickBot="1" x14ac:dyDescent="0.3">
      <c r="A122" s="204"/>
      <c r="B122" s="205"/>
      <c r="C122" s="205"/>
      <c r="D122" s="206"/>
      <c r="E122" s="1847"/>
      <c r="F122" s="1848"/>
      <c r="G122" s="1849"/>
      <c r="H122" s="1850"/>
      <c r="I122" s="63"/>
      <c r="J122" s="64"/>
      <c r="K122" s="64"/>
      <c r="L122" s="64"/>
    </row>
    <row r="123" spans="1:21" ht="30" customHeight="1" thickBot="1" x14ac:dyDescent="0.3">
      <c r="A123" s="76"/>
      <c r="B123" s="77"/>
      <c r="C123" s="77"/>
      <c r="D123" s="77"/>
      <c r="E123" s="77"/>
      <c r="F123" s="77"/>
      <c r="G123" s="77"/>
      <c r="H123" s="77"/>
      <c r="I123" s="77"/>
      <c r="J123" s="77"/>
      <c r="K123" s="77"/>
      <c r="L123" s="78"/>
      <c r="P123" s="43"/>
      <c r="Q123" s="43"/>
      <c r="R123" s="43"/>
      <c r="S123" s="60"/>
      <c r="T123" s="60"/>
      <c r="U123" s="43"/>
    </row>
    <row r="124" spans="1:21" ht="30" customHeight="1" x14ac:dyDescent="0.25">
      <c r="A124" s="207" t="s">
        <v>288</v>
      </c>
      <c r="B124" s="208">
        <v>1121</v>
      </c>
      <c r="C124" s="209" t="s">
        <v>385</v>
      </c>
      <c r="D124" s="210"/>
      <c r="E124" s="36" t="s">
        <v>291</v>
      </c>
      <c r="F124" s="37" t="s">
        <v>3</v>
      </c>
      <c r="G124" s="163" t="s">
        <v>290</v>
      </c>
      <c r="H124" s="164">
        <v>30495</v>
      </c>
      <c r="I124" s="36" t="s">
        <v>292</v>
      </c>
      <c r="J124" s="38" t="s">
        <v>293</v>
      </c>
      <c r="K124" s="39"/>
      <c r="L124" s="40"/>
      <c r="P124" s="43"/>
      <c r="Q124" s="43"/>
      <c r="R124" s="43"/>
      <c r="S124" s="60"/>
      <c r="T124" s="60"/>
      <c r="U124" s="43"/>
    </row>
    <row r="125" spans="1:21" s="49" customFormat="1" ht="30" customHeight="1" x14ac:dyDescent="0.25">
      <c r="A125" s="44" t="s">
        <v>294</v>
      </c>
      <c r="B125" s="45" t="s">
        <v>295</v>
      </c>
      <c r="C125" s="45"/>
      <c r="D125" s="45"/>
      <c r="E125" s="44" t="s">
        <v>296</v>
      </c>
      <c r="F125" s="44" t="s">
        <v>2</v>
      </c>
      <c r="G125" s="44" t="s">
        <v>297</v>
      </c>
      <c r="H125" s="44" t="s">
        <v>298</v>
      </c>
      <c r="I125" s="44" t="s">
        <v>299</v>
      </c>
      <c r="J125" s="211" t="s">
        <v>300</v>
      </c>
      <c r="K125" s="48" t="s">
        <v>301</v>
      </c>
      <c r="L125" s="48"/>
      <c r="M125" s="502"/>
      <c r="N125" s="502"/>
      <c r="O125" s="27"/>
      <c r="P125" s="50"/>
      <c r="Q125" s="50"/>
      <c r="R125" s="50"/>
      <c r="S125" s="212"/>
      <c r="T125" s="212"/>
      <c r="U125" s="50"/>
    </row>
    <row r="126" spans="1:21" ht="30" customHeight="1" x14ac:dyDescent="0.25">
      <c r="A126" s="51" t="s">
        <v>302</v>
      </c>
      <c r="B126" s="52" t="s">
        <v>303</v>
      </c>
      <c r="C126" s="52"/>
      <c r="D126" s="52"/>
      <c r="E126" s="97">
        <v>55400.87</v>
      </c>
      <c r="F126" s="51" t="s">
        <v>3</v>
      </c>
      <c r="G126" s="66">
        <v>0</v>
      </c>
      <c r="H126" s="66">
        <v>44289.84</v>
      </c>
      <c r="I126" s="66">
        <v>28467.74</v>
      </c>
      <c r="J126" s="95">
        <v>41022.730000000003</v>
      </c>
      <c r="K126" s="66">
        <v>72757.570000000007</v>
      </c>
      <c r="L126" s="56" t="s">
        <v>3</v>
      </c>
      <c r="O126" s="213"/>
      <c r="P126" s="43"/>
      <c r="Q126" s="43"/>
      <c r="R126" s="60"/>
      <c r="S126" s="60"/>
      <c r="T126" s="43"/>
    </row>
    <row r="127" spans="1:21" ht="30" customHeight="1" x14ac:dyDescent="0.25">
      <c r="A127" s="51" t="s">
        <v>308</v>
      </c>
      <c r="B127" s="52" t="s">
        <v>309</v>
      </c>
      <c r="C127" s="52"/>
      <c r="D127" s="52"/>
      <c r="E127" s="97">
        <v>15369.27</v>
      </c>
      <c r="F127" s="51" t="s">
        <v>307</v>
      </c>
      <c r="G127" s="66">
        <v>689762.3</v>
      </c>
      <c r="H127" s="66">
        <v>0</v>
      </c>
      <c r="I127" s="66">
        <v>0</v>
      </c>
      <c r="J127" s="95">
        <v>451563.79</v>
      </c>
      <c r="K127" s="66">
        <v>689762.3</v>
      </c>
      <c r="L127" s="56" t="s">
        <v>307</v>
      </c>
      <c r="O127" s="213"/>
      <c r="P127" s="43"/>
      <c r="Q127" s="43"/>
      <c r="R127" s="60"/>
      <c r="S127" s="60"/>
      <c r="T127" s="43"/>
    </row>
    <row r="128" spans="1:21" ht="30" customHeight="1" x14ac:dyDescent="0.25">
      <c r="A128" s="51" t="s">
        <v>310</v>
      </c>
      <c r="B128" s="52" t="s">
        <v>311</v>
      </c>
      <c r="C128" s="52"/>
      <c r="D128" s="52"/>
      <c r="E128" s="97">
        <v>23534</v>
      </c>
      <c r="F128" s="51" t="s">
        <v>3</v>
      </c>
      <c r="G128" s="66">
        <v>61259.01</v>
      </c>
      <c r="H128" s="66">
        <v>19253.54</v>
      </c>
      <c r="I128" s="66">
        <v>8210.5499999999993</v>
      </c>
      <c r="J128" s="95">
        <v>55210.86</v>
      </c>
      <c r="K128" s="66">
        <v>88723.09</v>
      </c>
      <c r="L128" s="56" t="s">
        <v>3</v>
      </c>
      <c r="O128" s="213"/>
      <c r="P128" s="43"/>
      <c r="Q128" s="43"/>
      <c r="R128" s="60"/>
      <c r="S128" s="60"/>
      <c r="T128" s="43"/>
    </row>
    <row r="129" spans="1:21" ht="30" customHeight="1" x14ac:dyDescent="0.25">
      <c r="A129" s="51" t="s">
        <v>360</v>
      </c>
      <c r="B129" s="52" t="s">
        <v>371</v>
      </c>
      <c r="C129" s="52"/>
      <c r="D129" s="52"/>
      <c r="E129" s="97">
        <v>1853.3</v>
      </c>
      <c r="F129" s="51" t="s">
        <v>362</v>
      </c>
      <c r="G129" s="66">
        <v>200867.22</v>
      </c>
      <c r="H129" s="66">
        <v>27319.23</v>
      </c>
      <c r="I129" s="66">
        <v>8610.7800000000007</v>
      </c>
      <c r="J129" s="95">
        <v>150946.32999999999</v>
      </c>
      <c r="K129" s="66">
        <v>236797.24</v>
      </c>
      <c r="L129" s="56" t="s">
        <v>362</v>
      </c>
      <c r="O129" s="213"/>
      <c r="P129" s="43"/>
      <c r="Q129" s="43"/>
      <c r="R129" s="60"/>
      <c r="S129" s="60"/>
      <c r="T129" s="43"/>
    </row>
    <row r="130" spans="1:21" ht="30" customHeight="1" x14ac:dyDescent="0.25">
      <c r="A130" s="51" t="s">
        <v>312</v>
      </c>
      <c r="B130" s="214" t="s">
        <v>313</v>
      </c>
      <c r="C130" s="214"/>
      <c r="D130" s="214"/>
      <c r="E130" s="97">
        <v>11767</v>
      </c>
      <c r="F130" s="51" t="s">
        <v>3</v>
      </c>
      <c r="G130" s="66">
        <v>218506.3</v>
      </c>
      <c r="H130" s="66">
        <v>641927.02</v>
      </c>
      <c r="I130" s="66">
        <v>152626.70000000001</v>
      </c>
      <c r="J130" s="95">
        <v>567424</v>
      </c>
      <c r="K130" s="66">
        <v>1013060</v>
      </c>
      <c r="L130" s="56" t="s">
        <v>3</v>
      </c>
      <c r="O130" s="213"/>
      <c r="P130" s="43"/>
      <c r="Q130" s="43"/>
      <c r="R130" s="60"/>
      <c r="S130" s="60"/>
      <c r="T130" s="43"/>
    </row>
    <row r="131" spans="1:21" ht="30" customHeight="1" x14ac:dyDescent="0.25">
      <c r="A131" s="51" t="s">
        <v>314</v>
      </c>
      <c r="B131" s="52" t="s">
        <v>315</v>
      </c>
      <c r="C131" s="52"/>
      <c r="D131" s="52"/>
      <c r="E131" s="97">
        <v>11767</v>
      </c>
      <c r="F131" s="51" t="s">
        <v>3</v>
      </c>
      <c r="G131" s="66">
        <v>0</v>
      </c>
      <c r="H131" s="66">
        <v>112911.1</v>
      </c>
      <c r="I131" s="66">
        <v>83363.67</v>
      </c>
      <c r="J131" s="95">
        <v>111645.19</v>
      </c>
      <c r="K131" s="66">
        <v>196274.78</v>
      </c>
      <c r="L131" s="56" t="s">
        <v>3</v>
      </c>
      <c r="O131" s="213"/>
      <c r="P131" s="43"/>
      <c r="Q131" s="43"/>
      <c r="R131" s="60"/>
      <c r="S131" s="60"/>
      <c r="T131" s="43"/>
    </row>
    <row r="132" spans="1:21" ht="30" customHeight="1" x14ac:dyDescent="0.25">
      <c r="A132" s="51" t="s">
        <v>316</v>
      </c>
      <c r="B132" s="52" t="s">
        <v>317</v>
      </c>
      <c r="C132" s="52"/>
      <c r="D132" s="52"/>
      <c r="E132" s="97">
        <v>4575.95</v>
      </c>
      <c r="F132" s="51" t="s">
        <v>307</v>
      </c>
      <c r="G132" s="66">
        <v>630917.85</v>
      </c>
      <c r="H132" s="66">
        <v>0</v>
      </c>
      <c r="I132" s="66">
        <v>0</v>
      </c>
      <c r="J132" s="95">
        <v>413040.34</v>
      </c>
      <c r="K132" s="66">
        <v>630917.85</v>
      </c>
      <c r="L132" s="56" t="s">
        <v>307</v>
      </c>
      <c r="O132" s="213"/>
      <c r="P132" s="43"/>
      <c r="Q132" s="43"/>
      <c r="R132" s="60"/>
      <c r="S132" s="60"/>
      <c r="T132" s="43"/>
    </row>
    <row r="133" spans="1:21" ht="30" customHeight="1" x14ac:dyDescent="0.25">
      <c r="A133" s="51" t="s">
        <v>318</v>
      </c>
      <c r="B133" s="52" t="s">
        <v>319</v>
      </c>
      <c r="C133" s="52"/>
      <c r="D133" s="52"/>
      <c r="E133" s="97">
        <v>4575.95</v>
      </c>
      <c r="F133" s="51" t="s">
        <v>307</v>
      </c>
      <c r="G133" s="66">
        <v>0</v>
      </c>
      <c r="H133" s="66">
        <v>5274.15</v>
      </c>
      <c r="I133" s="66">
        <v>8018.76</v>
      </c>
      <c r="J133" s="95">
        <v>7915.38</v>
      </c>
      <c r="K133" s="66">
        <v>13292.91</v>
      </c>
      <c r="L133" s="56" t="s">
        <v>307</v>
      </c>
      <c r="O133" s="213"/>
      <c r="P133" s="43"/>
      <c r="Q133" s="43"/>
      <c r="R133" s="60"/>
      <c r="S133" s="60"/>
      <c r="T133" s="43"/>
    </row>
    <row r="134" spans="1:21" ht="30" customHeight="1" x14ac:dyDescent="0.25">
      <c r="A134" s="51" t="s">
        <v>320</v>
      </c>
      <c r="B134" s="52" t="s">
        <v>321</v>
      </c>
      <c r="C134" s="52"/>
      <c r="D134" s="52"/>
      <c r="E134" s="97">
        <v>5059.8100000000004</v>
      </c>
      <c r="F134" s="51" t="s">
        <v>7</v>
      </c>
      <c r="G134" s="66">
        <v>7530.62</v>
      </c>
      <c r="H134" s="66">
        <v>33275.620000000003</v>
      </c>
      <c r="I134" s="66">
        <v>0</v>
      </c>
      <c r="J134" s="95">
        <v>21748.89</v>
      </c>
      <c r="K134" s="66">
        <v>40806.239999999998</v>
      </c>
      <c r="L134" s="56" t="s">
        <v>7</v>
      </c>
      <c r="O134" s="213"/>
      <c r="P134" s="43"/>
      <c r="Q134" s="43"/>
      <c r="R134" s="60"/>
      <c r="S134" s="60"/>
      <c r="T134" s="43"/>
    </row>
    <row r="135" spans="1:21" ht="30" customHeight="1" x14ac:dyDescent="0.25">
      <c r="A135" s="195" t="s">
        <v>386</v>
      </c>
      <c r="B135" s="196"/>
      <c r="C135" s="196"/>
      <c r="D135" s="197"/>
      <c r="E135" s="63"/>
      <c r="F135" s="63"/>
      <c r="G135" s="63"/>
      <c r="H135" s="63"/>
      <c r="I135" s="63"/>
      <c r="J135" s="134">
        <f>SUM(J126:J134)</f>
        <v>1820517.5099999998</v>
      </c>
      <c r="K135" s="169">
        <v>3166322.6886191829</v>
      </c>
      <c r="L135" s="67" t="s">
        <v>335</v>
      </c>
      <c r="P135" s="43"/>
      <c r="Q135" s="43"/>
      <c r="R135" s="43"/>
      <c r="S135" s="60"/>
      <c r="T135" s="60"/>
      <c r="U135" s="43"/>
    </row>
    <row r="136" spans="1:21" ht="30" customHeight="1" x14ac:dyDescent="0.25">
      <c r="A136" s="201"/>
      <c r="B136" s="202"/>
      <c r="C136" s="202"/>
      <c r="D136" s="203"/>
      <c r="E136" s="63"/>
      <c r="F136" s="63"/>
      <c r="G136" s="89"/>
      <c r="H136" s="89"/>
      <c r="I136" s="89"/>
      <c r="J136" s="1970" t="s">
        <v>358</v>
      </c>
      <c r="K136" s="103">
        <f>+K135/H124</f>
        <v>103.83088009900584</v>
      </c>
      <c r="L136" s="65" t="s">
        <v>3</v>
      </c>
      <c r="P136" s="43"/>
      <c r="Q136" s="43"/>
      <c r="R136" s="43"/>
      <c r="S136" s="60"/>
      <c r="T136" s="60"/>
      <c r="U136" s="43"/>
    </row>
    <row r="137" spans="1:21" ht="30" customHeight="1" x14ac:dyDescent="0.25">
      <c r="A137" s="201"/>
      <c r="B137" s="202"/>
      <c r="C137" s="202"/>
      <c r="D137" s="203"/>
      <c r="E137" s="63"/>
      <c r="F137" s="63"/>
      <c r="G137" s="63"/>
      <c r="H137" s="63"/>
      <c r="I137" s="63"/>
      <c r="J137" s="159"/>
      <c r="K137" s="117"/>
      <c r="L137" s="48"/>
      <c r="P137" s="43"/>
      <c r="Q137" s="43"/>
      <c r="R137" s="43"/>
      <c r="S137" s="60"/>
      <c r="T137" s="60"/>
      <c r="U137" s="43"/>
    </row>
    <row r="138" spans="1:21" ht="30" customHeight="1" thickBot="1" x14ac:dyDescent="0.3">
      <c r="A138" s="204"/>
      <c r="B138" s="205"/>
      <c r="C138" s="205"/>
      <c r="D138" s="206"/>
      <c r="E138" s="63"/>
      <c r="F138" s="63"/>
      <c r="G138" s="63"/>
      <c r="H138" s="63"/>
      <c r="I138" s="63"/>
      <c r="J138" s="64"/>
      <c r="K138" s="64"/>
      <c r="L138" s="64"/>
      <c r="P138" s="43"/>
      <c r="Q138" s="43"/>
      <c r="R138" s="43"/>
      <c r="S138" s="60"/>
      <c r="T138" s="60"/>
      <c r="U138" s="43"/>
    </row>
    <row r="139" spans="1:21" ht="30" customHeight="1" thickBot="1" x14ac:dyDescent="0.3">
      <c r="A139" s="76"/>
      <c r="B139" s="77"/>
      <c r="C139" s="77"/>
      <c r="D139" s="77"/>
      <c r="E139" s="77"/>
      <c r="F139" s="77"/>
      <c r="G139" s="77"/>
      <c r="H139" s="77"/>
      <c r="I139" s="77"/>
      <c r="J139" s="77"/>
      <c r="K139" s="77"/>
      <c r="L139" s="78"/>
      <c r="P139" s="43"/>
      <c r="Q139" s="43"/>
      <c r="R139" s="43"/>
      <c r="S139" s="60"/>
      <c r="T139" s="60"/>
      <c r="U139" s="43"/>
    </row>
    <row r="140" spans="1:21" ht="30" customHeight="1" x14ac:dyDescent="0.25">
      <c r="A140" s="207" t="s">
        <v>288</v>
      </c>
      <c r="B140" s="208">
        <v>1131</v>
      </c>
      <c r="C140" s="209" t="s">
        <v>387</v>
      </c>
      <c r="D140" s="210"/>
      <c r="E140" s="36" t="s">
        <v>291</v>
      </c>
      <c r="F140" s="37" t="s">
        <v>3</v>
      </c>
      <c r="G140" s="163" t="s">
        <v>290</v>
      </c>
      <c r="H140" s="164">
        <v>76564</v>
      </c>
      <c r="I140" s="36" t="s">
        <v>292</v>
      </c>
      <c r="J140" s="38" t="s">
        <v>293</v>
      </c>
      <c r="K140" s="39"/>
      <c r="L140" s="40"/>
      <c r="P140" s="43"/>
      <c r="Q140" s="43"/>
      <c r="R140" s="43"/>
      <c r="S140" s="60"/>
      <c r="T140" s="60"/>
      <c r="U140" s="43"/>
    </row>
    <row r="141" spans="1:21" s="49" customFormat="1" ht="30" customHeight="1" x14ac:dyDescent="0.25">
      <c r="A141" s="44" t="s">
        <v>294</v>
      </c>
      <c r="B141" s="45" t="s">
        <v>295</v>
      </c>
      <c r="C141" s="45"/>
      <c r="D141" s="45"/>
      <c r="E141" s="44" t="s">
        <v>296</v>
      </c>
      <c r="F141" s="44" t="s">
        <v>2</v>
      </c>
      <c r="G141" s="44" t="s">
        <v>297</v>
      </c>
      <c r="H141" s="44" t="s">
        <v>298</v>
      </c>
      <c r="I141" s="44" t="s">
        <v>299</v>
      </c>
      <c r="J141" s="211" t="s">
        <v>300</v>
      </c>
      <c r="K141" s="48" t="s">
        <v>301</v>
      </c>
      <c r="L141" s="48"/>
      <c r="M141" s="502"/>
      <c r="N141" s="502"/>
      <c r="O141" s="27"/>
      <c r="P141" s="50"/>
      <c r="Q141" s="50"/>
      <c r="R141" s="50"/>
      <c r="S141" s="212"/>
      <c r="T141" s="212"/>
      <c r="U141" s="50"/>
    </row>
    <row r="142" spans="1:21" ht="30" customHeight="1" x14ac:dyDescent="0.25">
      <c r="A142" s="51" t="s">
        <v>302</v>
      </c>
      <c r="B142" s="52" t="s">
        <v>303</v>
      </c>
      <c r="C142" s="52"/>
      <c r="D142" s="52"/>
      <c r="E142" s="215">
        <v>156206.1</v>
      </c>
      <c r="F142" s="56" t="s">
        <v>3</v>
      </c>
      <c r="G142" s="1220">
        <v>0</v>
      </c>
      <c r="H142" s="1220">
        <v>74729.210000000006</v>
      </c>
      <c r="I142" s="1220">
        <v>44080.74</v>
      </c>
      <c r="J142" s="216">
        <v>66216.7</v>
      </c>
      <c r="K142" s="1986">
        <v>118809.95</v>
      </c>
      <c r="L142" s="56" t="s">
        <v>3</v>
      </c>
      <c r="P142" s="43"/>
      <c r="Q142" s="43"/>
      <c r="R142" s="43"/>
      <c r="S142" s="60"/>
      <c r="T142" s="60"/>
      <c r="U142" s="43"/>
    </row>
    <row r="143" spans="1:21" ht="30" customHeight="1" x14ac:dyDescent="0.25">
      <c r="A143" s="51" t="s">
        <v>308</v>
      </c>
      <c r="B143" s="52" t="s">
        <v>309</v>
      </c>
      <c r="C143" s="52"/>
      <c r="D143" s="52"/>
      <c r="E143" s="215">
        <v>43334.6</v>
      </c>
      <c r="F143" s="56" t="s">
        <v>307</v>
      </c>
      <c r="G143" s="1220">
        <v>1565556.84</v>
      </c>
      <c r="H143" s="1220">
        <v>0</v>
      </c>
      <c r="I143" s="1220">
        <v>0</v>
      </c>
      <c r="J143" s="216">
        <v>1018569.46</v>
      </c>
      <c r="K143" s="1986">
        <v>1565556.84</v>
      </c>
      <c r="L143" s="56" t="s">
        <v>307</v>
      </c>
      <c r="P143" s="43"/>
      <c r="Q143" s="43"/>
      <c r="R143" s="43"/>
      <c r="S143" s="60"/>
      <c r="T143" s="60"/>
      <c r="U143" s="43"/>
    </row>
    <row r="144" spans="1:21" ht="30" customHeight="1" x14ac:dyDescent="0.25">
      <c r="A144" s="51" t="s">
        <v>310</v>
      </c>
      <c r="B144" s="52" t="s">
        <v>311</v>
      </c>
      <c r="C144" s="52"/>
      <c r="D144" s="52"/>
      <c r="E144" s="215">
        <v>76564</v>
      </c>
      <c r="F144" s="56" t="s">
        <v>3</v>
      </c>
      <c r="G144" s="1220">
        <v>255858.82</v>
      </c>
      <c r="H144" s="1220">
        <v>38367.26</v>
      </c>
      <c r="I144" s="1220">
        <v>25065.85</v>
      </c>
      <c r="J144" s="216">
        <v>202045.13</v>
      </c>
      <c r="K144" s="1986">
        <v>319291.93</v>
      </c>
      <c r="L144" s="56" t="s">
        <v>3</v>
      </c>
      <c r="P144" s="43"/>
      <c r="Q144" s="43"/>
      <c r="R144" s="43"/>
      <c r="S144" s="60"/>
      <c r="T144" s="60"/>
      <c r="U144" s="43"/>
    </row>
    <row r="145" spans="1:21" ht="30" customHeight="1" x14ac:dyDescent="0.25">
      <c r="A145" s="51" t="s">
        <v>338</v>
      </c>
      <c r="B145" s="52" t="s">
        <v>388</v>
      </c>
      <c r="C145" s="52"/>
      <c r="D145" s="52"/>
      <c r="E145" s="215">
        <v>76564</v>
      </c>
      <c r="F145" s="56" t="s">
        <v>3</v>
      </c>
      <c r="G145" s="1220">
        <v>638621.31000000006</v>
      </c>
      <c r="H145" s="1220">
        <v>1345762.82</v>
      </c>
      <c r="I145" s="1220">
        <v>290010.69</v>
      </c>
      <c r="J145" s="216">
        <v>1280169.47</v>
      </c>
      <c r="K145" s="1986">
        <v>2274394.83</v>
      </c>
      <c r="L145" s="56" t="s">
        <v>3</v>
      </c>
      <c r="P145" s="43"/>
      <c r="Q145" s="43"/>
      <c r="R145" s="43"/>
      <c r="S145" s="60"/>
      <c r="T145" s="60"/>
      <c r="U145" s="43"/>
    </row>
    <row r="146" spans="1:21" ht="30" customHeight="1" x14ac:dyDescent="0.25">
      <c r="A146" s="51" t="s">
        <v>314</v>
      </c>
      <c r="B146" s="52" t="s">
        <v>315</v>
      </c>
      <c r="C146" s="52"/>
      <c r="D146" s="52"/>
      <c r="E146" s="215">
        <v>76564</v>
      </c>
      <c r="F146" s="56" t="s">
        <v>3</v>
      </c>
      <c r="G146" s="1220">
        <v>0</v>
      </c>
      <c r="H146" s="1220">
        <v>442369.59</v>
      </c>
      <c r="I146" s="1220">
        <v>495585.95</v>
      </c>
      <c r="J146" s="216">
        <v>544640.84</v>
      </c>
      <c r="K146" s="1986">
        <v>937955.54</v>
      </c>
      <c r="L146" s="56" t="s">
        <v>3</v>
      </c>
      <c r="P146" s="43"/>
      <c r="Q146" s="43"/>
      <c r="R146" s="43"/>
      <c r="S146" s="60"/>
      <c r="T146" s="60"/>
      <c r="U146" s="43"/>
    </row>
    <row r="147" spans="1:21" ht="30" customHeight="1" x14ac:dyDescent="0.25">
      <c r="A147" s="51" t="s">
        <v>316</v>
      </c>
      <c r="B147" s="52" t="s">
        <v>317</v>
      </c>
      <c r="C147" s="52"/>
      <c r="D147" s="52"/>
      <c r="E147" s="215">
        <v>24457.599999999999</v>
      </c>
      <c r="F147" s="56" t="s">
        <v>307</v>
      </c>
      <c r="G147" s="1220">
        <v>4130755.6</v>
      </c>
      <c r="H147" s="1220">
        <v>0</v>
      </c>
      <c r="I147" s="1220">
        <v>0</v>
      </c>
      <c r="J147" s="216">
        <v>2687517.55</v>
      </c>
      <c r="K147" s="1986">
        <v>4130755.6</v>
      </c>
      <c r="L147" s="56" t="s">
        <v>307</v>
      </c>
      <c r="P147" s="43"/>
      <c r="Q147" s="43"/>
      <c r="R147" s="43"/>
      <c r="S147" s="60"/>
      <c r="T147" s="60"/>
      <c r="U147" s="43"/>
    </row>
    <row r="148" spans="1:21" ht="30" customHeight="1" x14ac:dyDescent="0.25">
      <c r="A148" s="51" t="s">
        <v>318</v>
      </c>
      <c r="B148" s="217" t="s">
        <v>319</v>
      </c>
      <c r="C148" s="218"/>
      <c r="D148" s="219"/>
      <c r="E148" s="215">
        <v>24457.599999999999</v>
      </c>
      <c r="F148" s="56" t="s">
        <v>307</v>
      </c>
      <c r="G148" s="1220">
        <v>0</v>
      </c>
      <c r="H148" s="1220">
        <v>21724.54</v>
      </c>
      <c r="I148" s="1220">
        <v>37978.9</v>
      </c>
      <c r="J148" s="216">
        <v>35621.980000000003</v>
      </c>
      <c r="K148" s="1986">
        <v>59703.44</v>
      </c>
      <c r="L148" s="56" t="s">
        <v>307</v>
      </c>
      <c r="P148" s="43"/>
      <c r="Q148" s="43"/>
      <c r="R148" s="43"/>
      <c r="S148" s="60"/>
      <c r="T148" s="60"/>
      <c r="U148" s="43"/>
    </row>
    <row r="149" spans="1:21" ht="30" customHeight="1" x14ac:dyDescent="0.25">
      <c r="A149" s="51" t="s">
        <v>324</v>
      </c>
      <c r="B149" s="52" t="s">
        <v>325</v>
      </c>
      <c r="C149" s="52"/>
      <c r="D149" s="52"/>
      <c r="E149" s="215">
        <v>7656.4</v>
      </c>
      <c r="F149" s="56" t="s">
        <v>7</v>
      </c>
      <c r="G149" s="1220">
        <v>24779.119999999999</v>
      </c>
      <c r="H149" s="1220">
        <v>123036.07</v>
      </c>
      <c r="I149" s="1220">
        <v>0</v>
      </c>
      <c r="J149" s="216">
        <v>77923.88</v>
      </c>
      <c r="K149" s="1986">
        <v>147815.19</v>
      </c>
      <c r="L149" s="56" t="s">
        <v>7</v>
      </c>
      <c r="P149" s="43"/>
      <c r="Q149" s="43"/>
      <c r="R149" s="43"/>
      <c r="S149" s="60"/>
      <c r="T149" s="60"/>
      <c r="U149" s="43"/>
    </row>
    <row r="150" spans="1:21" ht="30" customHeight="1" x14ac:dyDescent="0.25">
      <c r="A150" s="195" t="s">
        <v>389</v>
      </c>
      <c r="B150" s="196"/>
      <c r="C150" s="196"/>
      <c r="D150" s="197"/>
      <c r="E150" s="63"/>
      <c r="F150" s="63"/>
      <c r="G150" s="63"/>
      <c r="H150" s="63"/>
      <c r="I150" s="63"/>
      <c r="J150" s="63">
        <v>5912705.0099999998</v>
      </c>
      <c r="K150" s="220">
        <v>9554283.3229165282</v>
      </c>
      <c r="L150" s="147" t="s">
        <v>335</v>
      </c>
      <c r="P150" s="43"/>
      <c r="Q150" s="43"/>
      <c r="R150" s="43"/>
      <c r="S150" s="60"/>
      <c r="T150" s="60"/>
      <c r="U150" s="43"/>
    </row>
    <row r="151" spans="1:21" ht="30" customHeight="1" x14ac:dyDescent="0.25">
      <c r="A151" s="201"/>
      <c r="B151" s="202"/>
      <c r="C151" s="202"/>
      <c r="D151" s="203"/>
      <c r="E151" s="63"/>
      <c r="F151" s="63"/>
      <c r="G151" s="63"/>
      <c r="H151" s="63"/>
      <c r="I151" s="63"/>
      <c r="J151" s="221" t="s">
        <v>358</v>
      </c>
      <c r="K151" s="267">
        <v>124.78819448979323</v>
      </c>
      <c r="L151" s="56" t="s">
        <v>3</v>
      </c>
      <c r="P151" s="43"/>
      <c r="Q151" s="43"/>
      <c r="R151" s="43"/>
      <c r="S151" s="60"/>
      <c r="T151" s="60"/>
      <c r="U151" s="43"/>
    </row>
    <row r="152" spans="1:21" ht="30" customHeight="1" x14ac:dyDescent="0.25">
      <c r="A152" s="201"/>
      <c r="B152" s="202"/>
      <c r="C152" s="202"/>
      <c r="D152" s="203"/>
      <c r="E152" s="63"/>
      <c r="F152" s="1121"/>
      <c r="G152" s="1123"/>
      <c r="H152" s="63"/>
      <c r="I152" s="63"/>
      <c r="J152" s="63"/>
      <c r="K152" s="222"/>
      <c r="L152" s="147"/>
      <c r="P152" s="43"/>
      <c r="Q152" s="43"/>
      <c r="R152" s="43"/>
      <c r="S152" s="60"/>
      <c r="T152" s="60"/>
      <c r="U152" s="43"/>
    </row>
    <row r="153" spans="1:21" ht="30" customHeight="1" thickBot="1" x14ac:dyDescent="0.3">
      <c r="A153" s="204"/>
      <c r="B153" s="205"/>
      <c r="C153" s="205"/>
      <c r="D153" s="206"/>
      <c r="E153" s="63"/>
      <c r="F153" s="63"/>
      <c r="G153" s="63"/>
      <c r="H153" s="63"/>
      <c r="I153" s="63"/>
      <c r="J153" s="63"/>
      <c r="K153" s="21"/>
      <c r="L153" s="61"/>
    </row>
    <row r="154" spans="1:21" ht="30" customHeight="1" thickBot="1" x14ac:dyDescent="0.3">
      <c r="A154" s="76"/>
      <c r="B154" s="77"/>
      <c r="C154" s="77"/>
      <c r="D154" s="77"/>
      <c r="E154" s="77"/>
      <c r="F154" s="77"/>
      <c r="G154" s="77"/>
      <c r="H154" s="77"/>
      <c r="I154" s="77"/>
      <c r="J154" s="77"/>
      <c r="K154" s="77"/>
      <c r="L154" s="78"/>
      <c r="M154" s="43"/>
    </row>
    <row r="155" spans="1:21" ht="30" customHeight="1" x14ac:dyDescent="0.25">
      <c r="A155" s="30" t="s">
        <v>288</v>
      </c>
      <c r="B155" s="31">
        <v>1162</v>
      </c>
      <c r="C155" s="161" t="s">
        <v>390</v>
      </c>
      <c r="D155" s="162"/>
      <c r="E155" s="36" t="s">
        <v>291</v>
      </c>
      <c r="F155" s="37" t="s">
        <v>3</v>
      </c>
      <c r="G155" s="123" t="s">
        <v>375</v>
      </c>
      <c r="H155" s="179">
        <v>3416</v>
      </c>
      <c r="I155" s="177" t="s">
        <v>292</v>
      </c>
      <c r="J155" s="38" t="s">
        <v>391</v>
      </c>
      <c r="K155" s="39"/>
      <c r="L155" s="40"/>
      <c r="P155" s="43"/>
      <c r="Q155" s="43"/>
      <c r="R155" s="43"/>
      <c r="S155" s="60"/>
      <c r="T155" s="60"/>
      <c r="U155" s="43"/>
    </row>
    <row r="156" spans="1:21" s="49" customFormat="1" ht="30" customHeight="1" x14ac:dyDescent="0.25">
      <c r="A156" s="44" t="s">
        <v>294</v>
      </c>
      <c r="B156" s="45" t="s">
        <v>295</v>
      </c>
      <c r="C156" s="45"/>
      <c r="D156" s="45"/>
      <c r="E156" s="46" t="s">
        <v>296</v>
      </c>
      <c r="F156" s="46" t="s">
        <v>2</v>
      </c>
      <c r="G156" s="46" t="s">
        <v>297</v>
      </c>
      <c r="H156" s="46" t="s">
        <v>298</v>
      </c>
      <c r="I156" s="46" t="s">
        <v>299</v>
      </c>
      <c r="J156" s="223" t="s">
        <v>300</v>
      </c>
      <c r="K156" s="47" t="s">
        <v>301</v>
      </c>
      <c r="L156" s="48"/>
      <c r="M156" s="502"/>
      <c r="N156" s="502"/>
      <c r="O156" s="27"/>
      <c r="P156" s="50"/>
      <c r="Q156" s="50"/>
      <c r="R156" s="50"/>
      <c r="S156" s="212"/>
      <c r="T156" s="212"/>
      <c r="U156" s="50"/>
    </row>
    <row r="157" spans="1:21" ht="30" customHeight="1" x14ac:dyDescent="0.25">
      <c r="A157" s="51" t="s">
        <v>302</v>
      </c>
      <c r="B157" s="52" t="s">
        <v>303</v>
      </c>
      <c r="C157" s="52"/>
      <c r="D157" s="52"/>
      <c r="E157" s="224">
        <v>9113.73</v>
      </c>
      <c r="F157" s="225" t="s">
        <v>3</v>
      </c>
      <c r="G157" s="66">
        <v>0</v>
      </c>
      <c r="H157" s="66">
        <v>7251.55</v>
      </c>
      <c r="I157" s="66">
        <v>4661.01</v>
      </c>
      <c r="J157" s="126">
        <v>6748.45</v>
      </c>
      <c r="K157" s="66">
        <v>11912.55</v>
      </c>
      <c r="L157" s="56" t="s">
        <v>3</v>
      </c>
      <c r="P157" s="43"/>
      <c r="Q157" s="43"/>
      <c r="R157" s="43"/>
      <c r="S157" s="60"/>
      <c r="T157" s="60"/>
      <c r="U157" s="43"/>
    </row>
    <row r="158" spans="1:21" ht="30" customHeight="1" x14ac:dyDescent="0.25">
      <c r="A158" s="51" t="s">
        <v>308</v>
      </c>
      <c r="B158" s="52" t="s">
        <v>309</v>
      </c>
      <c r="C158" s="52"/>
      <c r="D158" s="52"/>
      <c r="E158" s="224">
        <v>2528.3200000000002</v>
      </c>
      <c r="F158" s="225" t="s">
        <v>307</v>
      </c>
      <c r="G158" s="66">
        <v>112934.16</v>
      </c>
      <c r="H158" s="66">
        <v>0</v>
      </c>
      <c r="I158" s="66">
        <v>0</v>
      </c>
      <c r="J158" s="126">
        <v>74284.45</v>
      </c>
      <c r="K158" s="66">
        <v>112934.16</v>
      </c>
      <c r="L158" s="56" t="s">
        <v>307</v>
      </c>
      <c r="P158" s="43"/>
      <c r="Q158" s="43"/>
      <c r="R158" s="43"/>
      <c r="S158" s="60"/>
      <c r="T158" s="60"/>
      <c r="U158" s="43"/>
    </row>
    <row r="159" spans="1:21" ht="30" customHeight="1" x14ac:dyDescent="0.25">
      <c r="A159" s="51" t="s">
        <v>310</v>
      </c>
      <c r="B159" s="52" t="s">
        <v>311</v>
      </c>
      <c r="C159" s="52"/>
      <c r="D159" s="52"/>
      <c r="E159" s="224">
        <v>3416</v>
      </c>
      <c r="F159" s="225" t="s">
        <v>3</v>
      </c>
      <c r="G159" s="66">
        <v>8849.92</v>
      </c>
      <c r="H159" s="66">
        <v>2781.5</v>
      </c>
      <c r="I159" s="66">
        <v>1186.1500000000001</v>
      </c>
      <c r="J159" s="126">
        <v>8013.95</v>
      </c>
      <c r="K159" s="66">
        <v>12817.58</v>
      </c>
      <c r="L159" s="56" t="s">
        <v>3</v>
      </c>
      <c r="P159" s="43"/>
      <c r="Q159" s="43"/>
      <c r="R159" s="43"/>
      <c r="S159" s="60"/>
      <c r="T159" s="60"/>
      <c r="U159" s="43"/>
    </row>
    <row r="160" spans="1:21" ht="30" customHeight="1" x14ac:dyDescent="0.25">
      <c r="A160" s="51" t="s">
        <v>312</v>
      </c>
      <c r="B160" s="52" t="s">
        <v>313</v>
      </c>
      <c r="C160" s="52"/>
      <c r="D160" s="52"/>
      <c r="E160" s="224">
        <v>3416</v>
      </c>
      <c r="F160" s="225" t="s">
        <v>3</v>
      </c>
      <c r="G160" s="66">
        <v>63133.98</v>
      </c>
      <c r="H160" s="66">
        <v>185474.77</v>
      </c>
      <c r="I160" s="66">
        <v>44099.1</v>
      </c>
      <c r="J160" s="126">
        <v>164725.10999999999</v>
      </c>
      <c r="K160" s="66">
        <v>292707.84999999998</v>
      </c>
      <c r="L160" s="56" t="s">
        <v>3</v>
      </c>
      <c r="P160" s="43"/>
      <c r="Q160" s="43"/>
      <c r="R160" s="43"/>
      <c r="S160" s="60"/>
      <c r="T160" s="60"/>
      <c r="U160" s="43"/>
    </row>
    <row r="161" spans="1:23" ht="30" customHeight="1" x14ac:dyDescent="0.25">
      <c r="A161" s="51" t="s">
        <v>316</v>
      </c>
      <c r="B161" s="217" t="s">
        <v>317</v>
      </c>
      <c r="C161" s="218"/>
      <c r="D161" s="219"/>
      <c r="E161" s="224">
        <v>1328.41</v>
      </c>
      <c r="F161" s="225" t="s">
        <v>307</v>
      </c>
      <c r="G161" s="66">
        <v>221920.3</v>
      </c>
      <c r="H161" s="66">
        <v>0</v>
      </c>
      <c r="I161" s="66">
        <v>0</v>
      </c>
      <c r="J161" s="126">
        <v>145972.01999999999</v>
      </c>
      <c r="K161" s="66">
        <v>221920.3</v>
      </c>
      <c r="L161" s="56" t="s">
        <v>307</v>
      </c>
      <c r="P161" s="43"/>
      <c r="Q161" s="43"/>
      <c r="R161" s="43"/>
      <c r="S161" s="60"/>
      <c r="T161" s="60"/>
      <c r="U161" s="43"/>
    </row>
    <row r="162" spans="1:23" ht="30" customHeight="1" x14ac:dyDescent="0.25">
      <c r="A162" s="51" t="s">
        <v>318</v>
      </c>
      <c r="B162" s="52" t="s">
        <v>319</v>
      </c>
      <c r="C162" s="52"/>
      <c r="D162" s="52"/>
      <c r="E162" s="224">
        <v>1328.41</v>
      </c>
      <c r="F162" s="225" t="s">
        <v>307</v>
      </c>
      <c r="G162" s="66">
        <v>0</v>
      </c>
      <c r="H162" s="66">
        <v>1855.14</v>
      </c>
      <c r="I162" s="66">
        <v>2820.54</v>
      </c>
      <c r="J162" s="126">
        <v>2797.36</v>
      </c>
      <c r="K162" s="66">
        <v>4675.68</v>
      </c>
      <c r="L162" s="56" t="s">
        <v>307</v>
      </c>
      <c r="P162" s="43"/>
      <c r="Q162" s="43"/>
      <c r="R162" s="43"/>
      <c r="S162" s="60"/>
      <c r="T162" s="60"/>
      <c r="U162" s="43"/>
    </row>
    <row r="163" spans="1:23" ht="30" customHeight="1" x14ac:dyDescent="0.25">
      <c r="A163" s="51" t="s">
        <v>324</v>
      </c>
      <c r="B163" s="52" t="s">
        <v>325</v>
      </c>
      <c r="C163" s="52"/>
      <c r="D163" s="52"/>
      <c r="E163" s="224">
        <v>341.6</v>
      </c>
      <c r="F163" s="225" t="s">
        <v>7</v>
      </c>
      <c r="G163" s="66">
        <v>1195.25</v>
      </c>
      <c r="H163" s="66">
        <v>9074.11</v>
      </c>
      <c r="I163" s="66">
        <v>0</v>
      </c>
      <c r="J163" s="126">
        <v>5394.35</v>
      </c>
      <c r="K163" s="66">
        <v>10269.36</v>
      </c>
      <c r="L163" s="56" t="s">
        <v>307</v>
      </c>
      <c r="P163" s="43"/>
      <c r="Q163" s="43"/>
      <c r="R163" s="43"/>
      <c r="S163" s="60"/>
      <c r="T163" s="60"/>
      <c r="U163" s="43"/>
    </row>
    <row r="164" spans="1:23" ht="30" customHeight="1" x14ac:dyDescent="0.25">
      <c r="A164" s="165" t="s">
        <v>392</v>
      </c>
      <c r="B164" s="99"/>
      <c r="C164" s="99"/>
      <c r="D164" s="166"/>
      <c r="E164" s="63"/>
      <c r="F164" s="63"/>
      <c r="G164" s="63"/>
      <c r="H164" s="63"/>
      <c r="I164" s="63"/>
      <c r="J164" s="226">
        <f>SUM(J157:J163)</f>
        <v>407935.68999999994</v>
      </c>
      <c r="K164" s="227">
        <f>K157+K158+K159+K160+K161+K162+K163</f>
        <v>667237.48</v>
      </c>
      <c r="L164" s="67" t="s">
        <v>335</v>
      </c>
      <c r="P164" s="43"/>
      <c r="Q164" s="43"/>
      <c r="R164" s="43"/>
      <c r="S164" s="60"/>
      <c r="T164" s="60"/>
      <c r="U164" s="43"/>
    </row>
    <row r="165" spans="1:23" ht="30" customHeight="1" thickBot="1" x14ac:dyDescent="0.3">
      <c r="A165" s="174"/>
      <c r="B165" s="175"/>
      <c r="C165" s="175"/>
      <c r="D165" s="176"/>
      <c r="E165" s="89"/>
      <c r="F165" s="89"/>
      <c r="G165" s="89"/>
      <c r="H165" s="89"/>
      <c r="I165" s="89"/>
      <c r="J165" s="1970" t="s">
        <v>358</v>
      </c>
      <c r="K165" s="103">
        <f>+K164/H155</f>
        <v>195.32713114754097</v>
      </c>
      <c r="L165" s="65" t="s">
        <v>3</v>
      </c>
    </row>
    <row r="166" spans="1:23" ht="30" customHeight="1" thickBot="1" x14ac:dyDescent="0.3">
      <c r="A166" s="76"/>
      <c r="B166" s="77"/>
      <c r="C166" s="77"/>
      <c r="D166" s="77"/>
      <c r="E166" s="77"/>
      <c r="F166" s="77"/>
      <c r="G166" s="77"/>
      <c r="H166" s="77"/>
      <c r="I166" s="77"/>
      <c r="J166" s="77"/>
      <c r="K166" s="77"/>
      <c r="L166" s="78"/>
    </row>
    <row r="167" spans="1:23" ht="30" customHeight="1" x14ac:dyDescent="0.25">
      <c r="A167" s="30" t="s">
        <v>288</v>
      </c>
      <c r="B167" s="31">
        <v>1164</v>
      </c>
      <c r="C167" s="121" t="s">
        <v>393</v>
      </c>
      <c r="D167" s="122"/>
      <c r="E167" s="36" t="s">
        <v>291</v>
      </c>
      <c r="F167" s="37" t="s">
        <v>3</v>
      </c>
      <c r="G167" s="123" t="s">
        <v>354</v>
      </c>
      <c r="H167" s="124">
        <v>5720</v>
      </c>
      <c r="I167" s="177" t="s">
        <v>292</v>
      </c>
      <c r="J167" s="38" t="s">
        <v>293</v>
      </c>
      <c r="K167" s="39"/>
      <c r="L167" s="40"/>
      <c r="P167" s="43"/>
      <c r="Q167" s="43"/>
      <c r="R167" s="43"/>
      <c r="S167" s="60"/>
      <c r="T167" s="60"/>
      <c r="U167" s="43"/>
    </row>
    <row r="168" spans="1:23" s="49" customFormat="1" ht="30" customHeight="1" x14ac:dyDescent="0.25">
      <c r="A168" s="44" t="s">
        <v>294</v>
      </c>
      <c r="B168" s="45" t="s">
        <v>295</v>
      </c>
      <c r="C168" s="45"/>
      <c r="D168" s="45"/>
      <c r="E168" s="46" t="s">
        <v>296</v>
      </c>
      <c r="F168" s="44" t="s">
        <v>2</v>
      </c>
      <c r="G168" s="46" t="s">
        <v>297</v>
      </c>
      <c r="H168" s="46" t="s">
        <v>298</v>
      </c>
      <c r="I168" s="46" t="s">
        <v>299</v>
      </c>
      <c r="J168" s="47" t="s">
        <v>300</v>
      </c>
      <c r="K168" s="47" t="s">
        <v>301</v>
      </c>
      <c r="L168" s="94"/>
      <c r="M168" s="502"/>
      <c r="N168" s="502"/>
      <c r="O168" s="27"/>
      <c r="P168" s="50"/>
      <c r="Q168" s="50"/>
      <c r="R168" s="50"/>
      <c r="S168" s="50"/>
      <c r="T168" s="50"/>
      <c r="U168" s="50"/>
    </row>
    <row r="169" spans="1:23" ht="30" customHeight="1" x14ac:dyDescent="0.25">
      <c r="A169" s="51" t="s">
        <v>302</v>
      </c>
      <c r="B169" s="228" t="s">
        <v>303</v>
      </c>
      <c r="C169" s="228"/>
      <c r="D169" s="228"/>
      <c r="E169" s="231">
        <v>10179.59</v>
      </c>
      <c r="F169" s="51" t="s">
        <v>3</v>
      </c>
      <c r="G169" s="66">
        <v>0</v>
      </c>
      <c r="H169" s="66">
        <v>7573.06</v>
      </c>
      <c r="I169" s="66">
        <v>10393.879999999999</v>
      </c>
      <c r="J169" s="95">
        <v>10701.48</v>
      </c>
      <c r="K169" s="66">
        <v>17966.939999999999</v>
      </c>
      <c r="L169" s="56" t="s">
        <v>3</v>
      </c>
      <c r="M169" s="1886"/>
      <c r="N169" s="1886"/>
      <c r="R169" s="43"/>
      <c r="S169" s="43"/>
      <c r="T169" s="43"/>
      <c r="U169" s="60"/>
      <c r="V169" s="60"/>
      <c r="W169" s="43"/>
    </row>
    <row r="170" spans="1:23" ht="30" customHeight="1" x14ac:dyDescent="0.25">
      <c r="A170" s="51" t="s">
        <v>305</v>
      </c>
      <c r="B170" s="229" t="s">
        <v>306</v>
      </c>
      <c r="C170" s="230"/>
      <c r="D170" s="230"/>
      <c r="E170" s="231">
        <v>3830</v>
      </c>
      <c r="F170" s="51" t="s">
        <v>307</v>
      </c>
      <c r="G170" s="66">
        <v>239390.48</v>
      </c>
      <c r="H170" s="66">
        <v>44935.14</v>
      </c>
      <c r="I170" s="66">
        <v>48006.3</v>
      </c>
      <c r="J170" s="95">
        <v>212233.96</v>
      </c>
      <c r="K170" s="66">
        <v>332331.93</v>
      </c>
      <c r="L170" s="56" t="s">
        <v>307</v>
      </c>
      <c r="M170" s="12"/>
      <c r="N170" s="671"/>
      <c r="R170" s="43"/>
      <c r="S170" s="43"/>
      <c r="T170" s="43"/>
      <c r="U170" s="60"/>
      <c r="V170" s="60"/>
      <c r="W170" s="43"/>
    </row>
    <row r="171" spans="1:23" ht="30" customHeight="1" x14ac:dyDescent="0.25">
      <c r="A171" s="51" t="s">
        <v>308</v>
      </c>
      <c r="B171" s="228" t="s">
        <v>309</v>
      </c>
      <c r="C171" s="228"/>
      <c r="D171" s="228"/>
      <c r="E171" s="231">
        <v>2824.02</v>
      </c>
      <c r="F171" s="51" t="s">
        <v>307</v>
      </c>
      <c r="G171" s="66">
        <v>126532.38</v>
      </c>
      <c r="H171" s="66">
        <v>0</v>
      </c>
      <c r="I171" s="66">
        <v>0</v>
      </c>
      <c r="J171" s="95">
        <v>83375.83</v>
      </c>
      <c r="K171" s="66">
        <v>126532.38</v>
      </c>
      <c r="L171" s="56" t="s">
        <v>307</v>
      </c>
      <c r="M171" s="12"/>
      <c r="N171" s="671"/>
      <c r="R171" s="43"/>
      <c r="S171" s="43"/>
      <c r="T171" s="43"/>
      <c r="U171" s="60"/>
      <c r="V171" s="60"/>
      <c r="W171" s="43"/>
    </row>
    <row r="172" spans="1:23" ht="30" customHeight="1" x14ac:dyDescent="0.25">
      <c r="A172" s="51" t="s">
        <v>310</v>
      </c>
      <c r="B172" s="228" t="s">
        <v>311</v>
      </c>
      <c r="C172" s="228"/>
      <c r="D172" s="228"/>
      <c r="E172" s="231">
        <v>8108</v>
      </c>
      <c r="F172" s="51" t="s">
        <v>3</v>
      </c>
      <c r="G172" s="66">
        <v>21070.54</v>
      </c>
      <c r="H172" s="66">
        <v>6172.8</v>
      </c>
      <c r="I172" s="66">
        <v>5620.84</v>
      </c>
      <c r="J172" s="95">
        <v>20728.02</v>
      </c>
      <c r="K172" s="66">
        <v>32864.18</v>
      </c>
      <c r="L172" s="56" t="s">
        <v>3</v>
      </c>
      <c r="M172" s="12"/>
      <c r="N172" s="671"/>
      <c r="R172" s="43"/>
      <c r="S172" s="43"/>
      <c r="T172" s="43"/>
      <c r="U172" s="60"/>
      <c r="V172" s="60"/>
      <c r="W172" s="43"/>
    </row>
    <row r="173" spans="1:23" ht="30" customHeight="1" x14ac:dyDescent="0.25">
      <c r="A173" s="51" t="s">
        <v>360</v>
      </c>
      <c r="B173" s="28" t="s">
        <v>361</v>
      </c>
      <c r="C173" s="28"/>
      <c r="D173" s="28"/>
      <c r="E173" s="231">
        <v>1277.01</v>
      </c>
      <c r="F173" s="51" t="s">
        <v>362</v>
      </c>
      <c r="G173" s="66">
        <v>138180.04999999999</v>
      </c>
      <c r="H173" s="66">
        <v>17517.439999999999</v>
      </c>
      <c r="I173" s="66">
        <v>11789.68</v>
      </c>
      <c r="J173" s="95">
        <v>107731.05</v>
      </c>
      <c r="K173" s="66">
        <v>167487.17000000001</v>
      </c>
      <c r="L173" s="56" t="s">
        <v>3</v>
      </c>
      <c r="M173" s="12"/>
      <c r="N173" s="671"/>
      <c r="R173" s="43"/>
      <c r="S173" s="43"/>
      <c r="T173" s="43"/>
      <c r="U173" s="60"/>
      <c r="V173" s="60"/>
      <c r="W173" s="43"/>
    </row>
    <row r="174" spans="1:23" ht="30" customHeight="1" x14ac:dyDescent="0.25">
      <c r="A174" s="51"/>
      <c r="B174" s="96"/>
      <c r="C174" s="96"/>
      <c r="D174" s="96"/>
      <c r="E174" s="1975"/>
      <c r="F174" s="51"/>
      <c r="G174" s="54"/>
      <c r="H174" s="232"/>
      <c r="I174" s="232"/>
      <c r="J174" s="233" t="s">
        <v>394</v>
      </c>
      <c r="K174" s="169">
        <v>677182.58905926102</v>
      </c>
      <c r="L174" s="67" t="s">
        <v>335</v>
      </c>
      <c r="M174" s="12"/>
      <c r="N174" s="1887"/>
      <c r="R174" s="43"/>
      <c r="S174" s="43"/>
      <c r="T174" s="43"/>
      <c r="U174" s="60"/>
      <c r="V174" s="60"/>
      <c r="W174" s="43"/>
    </row>
    <row r="175" spans="1:23" ht="30" customHeight="1" thickBot="1" x14ac:dyDescent="0.3">
      <c r="A175" s="51"/>
      <c r="B175" s="96"/>
      <c r="C175" s="96"/>
      <c r="D175" s="96"/>
      <c r="E175" s="97"/>
      <c r="F175" s="51"/>
      <c r="G175" s="132"/>
      <c r="H175" s="90"/>
      <c r="I175" s="133"/>
      <c r="J175" s="137" t="s">
        <v>358</v>
      </c>
      <c r="K175" s="235">
        <f>+K174/H167</f>
        <v>118.38856452084983</v>
      </c>
      <c r="L175" s="51" t="s">
        <v>3</v>
      </c>
      <c r="M175" s="12"/>
      <c r="N175" s="671"/>
      <c r="R175" s="43"/>
      <c r="S175" s="43"/>
      <c r="T175" s="43"/>
      <c r="U175" s="60"/>
      <c r="V175" s="60"/>
      <c r="W175" s="43"/>
    </row>
    <row r="176" spans="1:23" ht="30" customHeight="1" thickBot="1" x14ac:dyDescent="0.3">
      <c r="A176" s="76"/>
      <c r="B176" s="77"/>
      <c r="C176" s="77"/>
      <c r="D176" s="77"/>
      <c r="E176" s="77"/>
      <c r="F176" s="77"/>
      <c r="G176" s="77"/>
      <c r="H176" s="77"/>
      <c r="I176" s="77"/>
      <c r="J176" s="77"/>
      <c r="K176" s="77"/>
      <c r="L176" s="78"/>
      <c r="M176" s="12"/>
      <c r="N176" s="671"/>
      <c r="R176" s="43"/>
      <c r="S176" s="43"/>
      <c r="T176" s="43"/>
      <c r="U176" s="60"/>
      <c r="V176" s="60"/>
      <c r="W176" s="43"/>
    </row>
    <row r="177" spans="1:23" ht="30" customHeight="1" x14ac:dyDescent="0.25">
      <c r="A177" s="30" t="s">
        <v>288</v>
      </c>
      <c r="B177" s="31">
        <v>1164</v>
      </c>
      <c r="C177" s="121" t="s">
        <v>395</v>
      </c>
      <c r="D177" s="122"/>
      <c r="E177" s="36" t="s">
        <v>291</v>
      </c>
      <c r="F177" s="37" t="s">
        <v>3</v>
      </c>
      <c r="G177" s="123" t="s">
        <v>354</v>
      </c>
      <c r="H177" s="124">
        <v>5720</v>
      </c>
      <c r="I177" s="177" t="s">
        <v>292</v>
      </c>
      <c r="J177" s="38" t="s">
        <v>293</v>
      </c>
      <c r="K177" s="39"/>
      <c r="L177" s="40"/>
      <c r="P177" s="43"/>
      <c r="Q177" s="43"/>
      <c r="R177" s="43"/>
      <c r="S177" s="60"/>
      <c r="T177" s="60"/>
      <c r="U177" s="43"/>
    </row>
    <row r="178" spans="1:23" s="49" customFormat="1" ht="30" customHeight="1" x14ac:dyDescent="0.25">
      <c r="A178" s="44" t="s">
        <v>294</v>
      </c>
      <c r="B178" s="45" t="s">
        <v>295</v>
      </c>
      <c r="C178" s="45"/>
      <c r="D178" s="45"/>
      <c r="E178" s="44" t="s">
        <v>296</v>
      </c>
      <c r="F178" s="44" t="s">
        <v>2</v>
      </c>
      <c r="G178" s="44" t="s">
        <v>297</v>
      </c>
      <c r="H178" s="44" t="s">
        <v>298</v>
      </c>
      <c r="I178" s="44" t="s">
        <v>299</v>
      </c>
      <c r="J178" s="48" t="s">
        <v>300</v>
      </c>
      <c r="K178" s="48" t="s">
        <v>301</v>
      </c>
      <c r="L178" s="94"/>
      <c r="M178" s="502"/>
      <c r="N178" s="502"/>
      <c r="O178" s="27"/>
      <c r="P178" s="50"/>
      <c r="Q178" s="50"/>
      <c r="R178" s="50"/>
      <c r="S178" s="50"/>
      <c r="T178" s="50"/>
      <c r="U178" s="50"/>
    </row>
    <row r="179" spans="1:23" ht="30" customHeight="1" x14ac:dyDescent="0.25">
      <c r="A179" s="64" t="s">
        <v>302</v>
      </c>
      <c r="B179" s="236" t="s">
        <v>303</v>
      </c>
      <c r="C179" s="237"/>
      <c r="D179" s="238"/>
      <c r="E179" s="239">
        <v>5327.09</v>
      </c>
      <c r="F179" s="51" t="s">
        <v>3</v>
      </c>
      <c r="G179" s="66">
        <v>0</v>
      </c>
      <c r="H179" s="66">
        <v>3963.06</v>
      </c>
      <c r="I179" s="66">
        <v>5439.23</v>
      </c>
      <c r="J179" s="95">
        <v>5600.2</v>
      </c>
      <c r="K179" s="66">
        <v>9402.2900000000009</v>
      </c>
      <c r="L179" s="56" t="s">
        <v>3</v>
      </c>
      <c r="P179" s="43"/>
      <c r="Q179" s="43"/>
      <c r="R179" s="43"/>
      <c r="S179" s="43"/>
      <c r="T179" s="43"/>
      <c r="U179" s="43"/>
    </row>
    <row r="180" spans="1:23" ht="30" customHeight="1" x14ac:dyDescent="0.25">
      <c r="A180" s="64" t="s">
        <v>308</v>
      </c>
      <c r="B180" s="236" t="s">
        <v>309</v>
      </c>
      <c r="C180" s="237"/>
      <c r="D180" s="238"/>
      <c r="E180" s="239">
        <v>1477.84</v>
      </c>
      <c r="F180" s="51" t="s">
        <v>307</v>
      </c>
      <c r="G180" s="66">
        <v>66215.75</v>
      </c>
      <c r="H180" s="66">
        <v>0</v>
      </c>
      <c r="I180" s="66">
        <v>0</v>
      </c>
      <c r="J180" s="95">
        <v>43631.47</v>
      </c>
      <c r="K180" s="66">
        <v>66215.75</v>
      </c>
      <c r="L180" s="56" t="s">
        <v>307</v>
      </c>
      <c r="P180" s="43"/>
      <c r="Q180" s="43"/>
      <c r="R180" s="43"/>
      <c r="S180" s="43"/>
      <c r="T180" s="43"/>
      <c r="U180" s="43"/>
    </row>
    <row r="181" spans="1:23" ht="30" customHeight="1" x14ac:dyDescent="0.25">
      <c r="A181" s="64" t="s">
        <v>310</v>
      </c>
      <c r="B181" s="236" t="s">
        <v>311</v>
      </c>
      <c r="C181" s="237"/>
      <c r="D181" s="238"/>
      <c r="E181" s="239">
        <v>4243</v>
      </c>
      <c r="F181" s="51" t="s">
        <v>3</v>
      </c>
      <c r="G181" s="66">
        <v>11026.43</v>
      </c>
      <c r="H181" s="66">
        <v>3230.29</v>
      </c>
      <c r="I181" s="66">
        <v>2941.44</v>
      </c>
      <c r="J181" s="95">
        <v>10847.19</v>
      </c>
      <c r="K181" s="66">
        <v>17198.16</v>
      </c>
      <c r="L181" s="56" t="s">
        <v>3</v>
      </c>
      <c r="P181" s="43"/>
      <c r="Q181" s="43"/>
      <c r="R181" s="43"/>
      <c r="S181" s="43"/>
      <c r="T181" s="43"/>
      <c r="U181" s="43"/>
    </row>
    <row r="182" spans="1:23" ht="30" customHeight="1" x14ac:dyDescent="0.25">
      <c r="A182" s="64" t="s">
        <v>338</v>
      </c>
      <c r="B182" s="236" t="s">
        <v>339</v>
      </c>
      <c r="C182" s="237"/>
      <c r="D182" s="238"/>
      <c r="E182" s="239">
        <v>4243</v>
      </c>
      <c r="F182" s="51" t="s">
        <v>3</v>
      </c>
      <c r="G182" s="66">
        <v>43066.45</v>
      </c>
      <c r="H182" s="66">
        <v>114483.61</v>
      </c>
      <c r="I182" s="66">
        <v>38956.11</v>
      </c>
      <c r="J182" s="95">
        <v>112288.48</v>
      </c>
      <c r="K182" s="66">
        <v>196506.17</v>
      </c>
      <c r="L182" s="56" t="s">
        <v>3</v>
      </c>
      <c r="P182" s="43"/>
      <c r="Q182" s="43"/>
      <c r="R182" s="43"/>
      <c r="S182" s="43"/>
      <c r="T182" s="43"/>
      <c r="U182" s="43"/>
    </row>
    <row r="183" spans="1:23" ht="30" customHeight="1" x14ac:dyDescent="0.25">
      <c r="A183" s="64" t="s">
        <v>314</v>
      </c>
      <c r="B183" s="129" t="s">
        <v>315</v>
      </c>
      <c r="C183" s="130"/>
      <c r="D183" s="131"/>
      <c r="E183" s="239">
        <v>4243</v>
      </c>
      <c r="F183" s="51" t="s">
        <v>3</v>
      </c>
      <c r="G183" s="66">
        <v>0</v>
      </c>
      <c r="H183" s="66">
        <v>37887.629999999997</v>
      </c>
      <c r="I183" s="66">
        <v>59730.38</v>
      </c>
      <c r="J183" s="95">
        <v>58632.71</v>
      </c>
      <c r="K183" s="66">
        <v>97618.01</v>
      </c>
      <c r="L183" s="56" t="s">
        <v>3</v>
      </c>
      <c r="M183" s="1886"/>
      <c r="N183" s="1886"/>
      <c r="R183" s="43"/>
      <c r="S183" s="43"/>
      <c r="T183" s="43"/>
      <c r="U183" s="60"/>
      <c r="V183" s="60"/>
      <c r="W183" s="43"/>
    </row>
    <row r="184" spans="1:23" ht="30" customHeight="1" x14ac:dyDescent="0.25">
      <c r="A184" s="64" t="s">
        <v>316</v>
      </c>
      <c r="B184" s="129" t="s">
        <v>317</v>
      </c>
      <c r="C184" s="130"/>
      <c r="D184" s="131"/>
      <c r="E184" s="239">
        <v>1119.6400000000001</v>
      </c>
      <c r="F184" s="51" t="s">
        <v>307</v>
      </c>
      <c r="G184" s="66">
        <v>187622.06</v>
      </c>
      <c r="H184" s="66">
        <v>0</v>
      </c>
      <c r="I184" s="66">
        <v>0</v>
      </c>
      <c r="J184" s="95">
        <v>123629.58</v>
      </c>
      <c r="K184" s="66">
        <v>187622.06</v>
      </c>
      <c r="L184" s="56" t="s">
        <v>307</v>
      </c>
      <c r="M184" s="12"/>
      <c r="N184" s="671"/>
      <c r="R184" s="43"/>
      <c r="S184" s="43"/>
      <c r="T184" s="43"/>
      <c r="U184" s="60"/>
      <c r="V184" s="60"/>
      <c r="W184" s="43"/>
    </row>
    <row r="185" spans="1:23" ht="30" customHeight="1" x14ac:dyDescent="0.25">
      <c r="A185" s="64" t="s">
        <v>318</v>
      </c>
      <c r="B185" s="129" t="s">
        <v>319</v>
      </c>
      <c r="C185" s="130"/>
      <c r="D185" s="131"/>
      <c r="E185" s="239">
        <v>1119.6400000000001</v>
      </c>
      <c r="F185" s="51" t="s">
        <v>307</v>
      </c>
      <c r="G185" s="66">
        <v>0</v>
      </c>
      <c r="H185" s="66">
        <v>1461.94</v>
      </c>
      <c r="I185" s="66">
        <v>4746.16</v>
      </c>
      <c r="J185" s="95">
        <v>3871.11</v>
      </c>
      <c r="K185" s="66">
        <v>6208.1</v>
      </c>
      <c r="L185" s="56" t="s">
        <v>307</v>
      </c>
      <c r="M185" s="12"/>
      <c r="N185" s="671"/>
      <c r="R185" s="43"/>
      <c r="S185" s="43"/>
      <c r="T185" s="43"/>
      <c r="U185" s="60"/>
      <c r="V185" s="60"/>
      <c r="W185" s="43"/>
    </row>
    <row r="186" spans="1:23" ht="30" customHeight="1" x14ac:dyDescent="0.25">
      <c r="A186" s="64" t="s">
        <v>320</v>
      </c>
      <c r="B186" s="129" t="s">
        <v>321</v>
      </c>
      <c r="C186" s="130"/>
      <c r="D186" s="131"/>
      <c r="E186" s="239">
        <v>1824.49</v>
      </c>
      <c r="F186" s="51" t="s">
        <v>7</v>
      </c>
      <c r="G186" s="66">
        <v>3378.9</v>
      </c>
      <c r="H186" s="66">
        <v>13916.72</v>
      </c>
      <c r="I186" s="66">
        <v>0</v>
      </c>
      <c r="J186" s="95">
        <v>9306.33</v>
      </c>
      <c r="K186" s="66">
        <v>17295.62</v>
      </c>
      <c r="L186" s="56" t="s">
        <v>7</v>
      </c>
      <c r="M186" s="12"/>
      <c r="N186" s="671"/>
      <c r="R186" s="43"/>
      <c r="S186" s="43"/>
      <c r="T186" s="43"/>
      <c r="U186" s="60"/>
      <c r="V186" s="60"/>
      <c r="W186" s="43"/>
    </row>
    <row r="187" spans="1:23" ht="30" customHeight="1" x14ac:dyDescent="0.25">
      <c r="A187" s="64" t="s">
        <v>322</v>
      </c>
      <c r="B187" s="129" t="s">
        <v>323</v>
      </c>
      <c r="C187" s="130"/>
      <c r="D187" s="131"/>
      <c r="E187" s="239">
        <v>2206.36</v>
      </c>
      <c r="F187" s="51" t="s">
        <v>7</v>
      </c>
      <c r="G187" s="66">
        <v>4086.12</v>
      </c>
      <c r="H187" s="66">
        <v>16829.52</v>
      </c>
      <c r="I187" s="66">
        <v>0</v>
      </c>
      <c r="J187" s="95">
        <v>11254.17</v>
      </c>
      <c r="K187" s="66">
        <v>20915.63</v>
      </c>
      <c r="L187" s="56" t="s">
        <v>7</v>
      </c>
      <c r="M187" s="12"/>
      <c r="N187" s="671"/>
      <c r="R187" s="43"/>
      <c r="S187" s="43"/>
      <c r="T187" s="43"/>
      <c r="U187" s="60"/>
      <c r="V187" s="60"/>
      <c r="W187" s="43"/>
    </row>
    <row r="188" spans="1:23" ht="30" customHeight="1" x14ac:dyDescent="0.25">
      <c r="A188" s="64" t="s">
        <v>324</v>
      </c>
      <c r="B188" s="129" t="s">
        <v>325</v>
      </c>
      <c r="C188" s="130"/>
      <c r="D188" s="131"/>
      <c r="E188" s="239">
        <v>424.3</v>
      </c>
      <c r="F188" s="51" t="s">
        <v>7</v>
      </c>
      <c r="G188" s="66">
        <v>1489.2</v>
      </c>
      <c r="H188" s="66">
        <v>10538.18</v>
      </c>
      <c r="I188" s="66">
        <v>0</v>
      </c>
      <c r="J188" s="95">
        <v>6342.38</v>
      </c>
      <c r="K188" s="66">
        <v>12027.38</v>
      </c>
      <c r="L188" s="56" t="s">
        <v>7</v>
      </c>
      <c r="M188" s="12"/>
      <c r="N188" s="671"/>
      <c r="R188" s="43"/>
      <c r="S188" s="43"/>
      <c r="T188" s="43"/>
      <c r="U188" s="60"/>
      <c r="V188" s="60"/>
      <c r="W188" s="43"/>
    </row>
    <row r="189" spans="1:23" ht="30" customHeight="1" x14ac:dyDescent="0.25">
      <c r="A189" s="51"/>
      <c r="B189" s="129"/>
      <c r="C189" s="130"/>
      <c r="D189" s="131"/>
      <c r="E189" s="97"/>
      <c r="F189" s="51"/>
      <c r="G189" s="232"/>
      <c r="H189" s="232"/>
      <c r="I189" s="232"/>
      <c r="J189" s="233" t="s">
        <v>396</v>
      </c>
      <c r="K189" s="234">
        <v>631009.17583188391</v>
      </c>
      <c r="L189" s="67" t="s">
        <v>335</v>
      </c>
      <c r="M189" s="12"/>
      <c r="N189" s="671"/>
      <c r="R189" s="43"/>
      <c r="S189" s="43"/>
      <c r="T189" s="43"/>
      <c r="U189" s="60"/>
      <c r="V189" s="60"/>
      <c r="W189" s="43"/>
    </row>
    <row r="190" spans="1:23" ht="30" customHeight="1" x14ac:dyDescent="0.25">
      <c r="A190" s="148" t="s">
        <v>397</v>
      </c>
      <c r="B190" s="148"/>
      <c r="C190" s="148"/>
      <c r="D190" s="148"/>
      <c r="E190" s="240"/>
      <c r="F190" s="89"/>
      <c r="G190" s="241"/>
      <c r="H190" s="89"/>
      <c r="I190" s="242"/>
      <c r="J190" s="133" t="s">
        <v>358</v>
      </c>
      <c r="K190" s="243">
        <f>+K189/H177</f>
        <v>110.31628948109859</v>
      </c>
      <c r="L190" s="61" t="s">
        <v>3</v>
      </c>
      <c r="O190" s="58"/>
      <c r="P190" s="43"/>
      <c r="Q190" s="43"/>
      <c r="R190" s="43"/>
      <c r="S190" s="60"/>
      <c r="T190" s="60"/>
      <c r="U190" s="43"/>
    </row>
    <row r="191" spans="1:23" ht="30" customHeight="1" x14ac:dyDescent="0.25">
      <c r="A191" s="148"/>
      <c r="B191" s="148"/>
      <c r="C191" s="148"/>
      <c r="D191" s="148"/>
      <c r="E191" s="148"/>
      <c r="F191" s="244" t="s">
        <v>347</v>
      </c>
      <c r="G191" s="245"/>
      <c r="H191" s="246" t="s">
        <v>369</v>
      </c>
      <c r="I191" s="247">
        <v>0.60799999999999998</v>
      </c>
      <c r="J191" s="136" t="s">
        <v>365</v>
      </c>
      <c r="K191" s="151">
        <f>+K175</f>
        <v>118.38856452084983</v>
      </c>
      <c r="L191" s="61" t="s">
        <v>3</v>
      </c>
      <c r="N191" s="43"/>
      <c r="P191" s="43"/>
      <c r="Q191" s="43"/>
      <c r="R191" s="43"/>
      <c r="S191" s="60"/>
      <c r="T191" s="60"/>
      <c r="U191" s="43"/>
    </row>
    <row r="192" spans="1:23" ht="30" customHeight="1" x14ac:dyDescent="0.25">
      <c r="A192" s="148"/>
      <c r="B192" s="148"/>
      <c r="C192" s="148"/>
      <c r="D192" s="148"/>
      <c r="E192" s="148"/>
      <c r="F192" s="248"/>
      <c r="G192" s="249"/>
      <c r="H192" s="246" t="s">
        <v>367</v>
      </c>
      <c r="I192" s="247">
        <v>0.39200000000000002</v>
      </c>
      <c r="J192" s="136" t="s">
        <v>368</v>
      </c>
      <c r="K192" s="151">
        <f>+K190</f>
        <v>110.31628948109859</v>
      </c>
      <c r="L192" s="61" t="s">
        <v>3</v>
      </c>
      <c r="P192" s="43"/>
      <c r="Q192" s="43"/>
      <c r="R192" s="43"/>
      <c r="S192" s="60"/>
      <c r="T192" s="60"/>
      <c r="U192" s="43"/>
    </row>
    <row r="193" spans="1:23" ht="30" customHeight="1" thickBot="1" x14ac:dyDescent="0.3">
      <c r="A193" s="148"/>
      <c r="B193" s="148"/>
      <c r="C193" s="148"/>
      <c r="D193" s="148"/>
      <c r="E193" s="148"/>
      <c r="F193" s="65"/>
      <c r="G193" s="65"/>
      <c r="H193" s="157"/>
      <c r="I193" s="158"/>
      <c r="J193" s="159" t="s">
        <v>352</v>
      </c>
      <c r="K193" s="160">
        <f>+K191*I191+K192*I192</f>
        <v>115.22423270526734</v>
      </c>
      <c r="L193" s="48" t="s">
        <v>3</v>
      </c>
      <c r="P193" s="43"/>
      <c r="Q193" s="43"/>
      <c r="R193" s="43"/>
      <c r="S193" s="60"/>
      <c r="T193" s="60"/>
      <c r="U193" s="43"/>
    </row>
    <row r="194" spans="1:23" ht="30" customHeight="1" thickBot="1" x14ac:dyDescent="0.3">
      <c r="A194" s="76"/>
      <c r="B194" s="77"/>
      <c r="C194" s="77"/>
      <c r="D194" s="77"/>
      <c r="E194" s="77"/>
      <c r="F194" s="77"/>
      <c r="G194" s="77"/>
      <c r="H194" s="77"/>
      <c r="I194" s="77"/>
      <c r="J194" s="77"/>
      <c r="K194" s="77"/>
      <c r="L194" s="78"/>
      <c r="P194" s="43"/>
      <c r="Q194" s="43"/>
      <c r="R194" s="43"/>
      <c r="S194" s="60"/>
      <c r="T194" s="60"/>
      <c r="U194" s="43"/>
    </row>
    <row r="195" spans="1:23" ht="30" customHeight="1" x14ac:dyDescent="0.25">
      <c r="A195" s="207" t="s">
        <v>288</v>
      </c>
      <c r="B195" s="208">
        <v>1165</v>
      </c>
      <c r="C195" s="209" t="s">
        <v>398</v>
      </c>
      <c r="D195" s="210"/>
      <c r="E195" s="177" t="s">
        <v>291</v>
      </c>
      <c r="F195" s="37" t="s">
        <v>3</v>
      </c>
      <c r="G195" s="123" t="s">
        <v>375</v>
      </c>
      <c r="H195" s="179">
        <v>53269</v>
      </c>
      <c r="I195" s="177" t="s">
        <v>292</v>
      </c>
      <c r="J195" s="38" t="s">
        <v>293</v>
      </c>
      <c r="K195" s="39"/>
      <c r="L195" s="40"/>
      <c r="P195" s="43"/>
      <c r="Q195" s="43"/>
      <c r="R195" s="43"/>
      <c r="S195" s="60"/>
      <c r="T195" s="60"/>
      <c r="U195" s="43"/>
    </row>
    <row r="196" spans="1:23" s="49" customFormat="1" ht="30" customHeight="1" x14ac:dyDescent="0.25">
      <c r="A196" s="181" t="s">
        <v>294</v>
      </c>
      <c r="B196" s="180" t="s">
        <v>295</v>
      </c>
      <c r="C196" s="180"/>
      <c r="D196" s="180"/>
      <c r="E196" s="181" t="s">
        <v>296</v>
      </c>
      <c r="F196" s="44" t="s">
        <v>2</v>
      </c>
      <c r="G196" s="44" t="s">
        <v>297</v>
      </c>
      <c r="H196" s="44" t="s">
        <v>298</v>
      </c>
      <c r="I196" s="44" t="s">
        <v>299</v>
      </c>
      <c r="J196" s="211" t="s">
        <v>300</v>
      </c>
      <c r="K196" s="48" t="s">
        <v>301</v>
      </c>
      <c r="L196" s="48"/>
      <c r="M196" s="502"/>
      <c r="N196" s="502"/>
      <c r="O196" s="27"/>
      <c r="P196" s="50"/>
      <c r="Q196" s="50"/>
      <c r="R196" s="50"/>
      <c r="S196" s="212"/>
      <c r="T196" s="212"/>
      <c r="U196" s="50"/>
    </row>
    <row r="197" spans="1:23" ht="30" customHeight="1" x14ac:dyDescent="0.25">
      <c r="A197" s="147" t="s">
        <v>302</v>
      </c>
      <c r="B197" s="214" t="s">
        <v>303</v>
      </c>
      <c r="C197" s="214"/>
      <c r="D197" s="214"/>
      <c r="E197" s="468">
        <v>200637.69</v>
      </c>
      <c r="F197" s="51" t="s">
        <v>3</v>
      </c>
      <c r="G197" s="98">
        <v>0</v>
      </c>
      <c r="H197" s="98">
        <v>160115.76</v>
      </c>
      <c r="I197" s="98">
        <v>102916.01</v>
      </c>
      <c r="J197" s="98">
        <v>148566.35999999999</v>
      </c>
      <c r="K197" s="220">
        <v>263031.77</v>
      </c>
      <c r="L197" s="51" t="s">
        <v>3</v>
      </c>
      <c r="P197" s="43"/>
      <c r="Q197" s="43"/>
      <c r="R197" s="43"/>
      <c r="S197" s="60"/>
      <c r="T197" s="60"/>
      <c r="U197" s="43"/>
    </row>
    <row r="198" spans="1:23" ht="30" customHeight="1" x14ac:dyDescent="0.25">
      <c r="A198" s="147" t="s">
        <v>308</v>
      </c>
      <c r="B198" s="214" t="s">
        <v>309</v>
      </c>
      <c r="C198" s="214"/>
      <c r="D198" s="214"/>
      <c r="E198" s="468">
        <v>5362</v>
      </c>
      <c r="F198" s="51" t="s">
        <v>307</v>
      </c>
      <c r="G198" s="98">
        <v>335105.31</v>
      </c>
      <c r="H198" s="98">
        <v>67483.06</v>
      </c>
      <c r="I198" s="98">
        <v>33763.64</v>
      </c>
      <c r="J198" s="98">
        <v>276081.02</v>
      </c>
      <c r="K198" s="220">
        <v>436352.01</v>
      </c>
      <c r="L198" s="51" t="s">
        <v>307</v>
      </c>
      <c r="P198" s="43"/>
      <c r="Q198" s="43"/>
      <c r="R198" s="43"/>
      <c r="S198" s="60"/>
      <c r="T198" s="60"/>
      <c r="U198" s="43"/>
    </row>
    <row r="199" spans="1:23" ht="30" customHeight="1" x14ac:dyDescent="0.25">
      <c r="A199" s="147" t="s">
        <v>305</v>
      </c>
      <c r="B199" s="1977" t="s">
        <v>306</v>
      </c>
      <c r="C199" s="1978"/>
      <c r="D199" s="1978"/>
      <c r="E199" s="468">
        <v>55660.78</v>
      </c>
      <c r="F199" s="51" t="s">
        <v>307</v>
      </c>
      <c r="G199" s="98">
        <v>2493616.06</v>
      </c>
      <c r="H199" s="98">
        <v>0</v>
      </c>
      <c r="I199" s="98">
        <v>0</v>
      </c>
      <c r="J199" s="98">
        <v>1635366.73</v>
      </c>
      <c r="K199" s="220">
        <v>2493616.06</v>
      </c>
      <c r="L199" s="51" t="s">
        <v>307</v>
      </c>
      <c r="M199" s="12"/>
      <c r="N199" s="671"/>
      <c r="R199" s="43"/>
      <c r="S199" s="43"/>
      <c r="T199" s="43"/>
      <c r="U199" s="60"/>
      <c r="V199" s="60"/>
      <c r="W199" s="43"/>
    </row>
    <row r="200" spans="1:23" ht="30" customHeight="1" x14ac:dyDescent="0.25">
      <c r="A200" s="147" t="s">
        <v>310</v>
      </c>
      <c r="B200" s="214" t="s">
        <v>311</v>
      </c>
      <c r="C200" s="214"/>
      <c r="D200" s="214"/>
      <c r="E200" s="468">
        <v>53269</v>
      </c>
      <c r="F200" s="51" t="s">
        <v>3</v>
      </c>
      <c r="G200" s="98">
        <v>138414.9</v>
      </c>
      <c r="H200" s="98">
        <v>43503.42</v>
      </c>
      <c r="I200" s="98">
        <v>18551.759999999998</v>
      </c>
      <c r="J200" s="98">
        <v>124969.29</v>
      </c>
      <c r="K200" s="66">
        <v>200470.08</v>
      </c>
      <c r="L200" s="51" t="s">
        <v>3</v>
      </c>
      <c r="P200" s="43"/>
      <c r="Q200" s="43"/>
      <c r="R200" s="43"/>
      <c r="S200" s="60"/>
      <c r="T200" s="60"/>
      <c r="U200" s="43"/>
    </row>
    <row r="201" spans="1:23" ht="30" customHeight="1" x14ac:dyDescent="0.25">
      <c r="A201" s="147" t="s">
        <v>360</v>
      </c>
      <c r="B201" s="214" t="s">
        <v>371</v>
      </c>
      <c r="C201" s="214"/>
      <c r="D201" s="214"/>
      <c r="E201" s="468">
        <v>8389.8700000000008</v>
      </c>
      <c r="F201" s="51" t="s">
        <v>362</v>
      </c>
      <c r="G201" s="98">
        <v>907721.59</v>
      </c>
      <c r="H201" s="98">
        <v>123455.97</v>
      </c>
      <c r="I201" s="98">
        <v>38912.22</v>
      </c>
      <c r="J201" s="98">
        <v>683332.48</v>
      </c>
      <c r="K201" s="1976">
        <v>1070089.78</v>
      </c>
      <c r="L201" s="51" t="s">
        <v>3</v>
      </c>
      <c r="N201" s="1888"/>
      <c r="P201" s="43"/>
      <c r="Q201" s="43"/>
      <c r="R201" s="43"/>
      <c r="S201" s="60"/>
      <c r="T201" s="60"/>
      <c r="U201" s="43"/>
    </row>
    <row r="202" spans="1:23" ht="30" customHeight="1" x14ac:dyDescent="0.25">
      <c r="A202" s="165" t="s">
        <v>392</v>
      </c>
      <c r="B202" s="99"/>
      <c r="C202" s="99"/>
      <c r="D202" s="166"/>
      <c r="E202" s="63"/>
      <c r="F202" s="63"/>
      <c r="G202" s="63"/>
      <c r="H202" s="63"/>
      <c r="I202" s="63"/>
      <c r="J202" s="63"/>
      <c r="K202" s="1976">
        <f>+K201+K200+K199+K198+K197</f>
        <v>4463559.6999999993</v>
      </c>
      <c r="L202" s="147" t="s">
        <v>335</v>
      </c>
      <c r="P202" s="43"/>
      <c r="Q202" s="43"/>
      <c r="R202" s="43"/>
      <c r="S202" s="60"/>
      <c r="T202" s="60"/>
      <c r="U202" s="43"/>
    </row>
    <row r="203" spans="1:23" ht="30" customHeight="1" thickBot="1" x14ac:dyDescent="0.3">
      <c r="A203" s="174"/>
      <c r="B203" s="175"/>
      <c r="C203" s="175"/>
      <c r="D203" s="176"/>
      <c r="E203" s="63"/>
      <c r="F203" s="63"/>
      <c r="G203" s="63"/>
      <c r="H203" s="63"/>
      <c r="I203" s="63"/>
      <c r="J203" s="159" t="s">
        <v>358</v>
      </c>
      <c r="K203" s="21">
        <f>+K202/H195</f>
        <v>83.792819463477812</v>
      </c>
      <c r="L203" s="61" t="s">
        <v>3</v>
      </c>
      <c r="O203" s="58"/>
    </row>
    <row r="204" spans="1:23" ht="30" customHeight="1" thickBot="1" x14ac:dyDescent="0.3">
      <c r="A204" s="76"/>
      <c r="B204" s="77"/>
      <c r="C204" s="77"/>
      <c r="D204" s="77"/>
      <c r="E204" s="77"/>
      <c r="F204" s="77"/>
      <c r="G204" s="77"/>
      <c r="H204" s="77"/>
      <c r="I204" s="77"/>
      <c r="J204" s="77"/>
      <c r="K204" s="77"/>
      <c r="L204" s="78"/>
      <c r="M204" s="43"/>
    </row>
    <row r="205" spans="1:23" ht="30" customHeight="1" x14ac:dyDescent="0.25">
      <c r="A205" s="207" t="s">
        <v>288</v>
      </c>
      <c r="B205" s="208">
        <v>1167</v>
      </c>
      <c r="C205" s="1979" t="s">
        <v>399</v>
      </c>
      <c r="D205" s="1980"/>
      <c r="E205" s="36" t="s">
        <v>291</v>
      </c>
      <c r="F205" s="37" t="s">
        <v>3</v>
      </c>
      <c r="G205" s="250" t="s">
        <v>354</v>
      </c>
      <c r="H205" s="124">
        <v>2419</v>
      </c>
      <c r="I205" s="177" t="s">
        <v>292</v>
      </c>
      <c r="J205" s="38" t="s">
        <v>400</v>
      </c>
      <c r="K205" s="39"/>
      <c r="L205" s="40"/>
      <c r="P205" s="43"/>
      <c r="Q205" s="43"/>
      <c r="R205" s="43"/>
      <c r="S205" s="60"/>
      <c r="T205" s="60"/>
      <c r="U205" s="43"/>
    </row>
    <row r="206" spans="1:23" s="49" customFormat="1" ht="30" customHeight="1" x14ac:dyDescent="0.25">
      <c r="A206" s="44" t="s">
        <v>294</v>
      </c>
      <c r="B206" s="45" t="s">
        <v>295</v>
      </c>
      <c r="C206" s="45"/>
      <c r="D206" s="45"/>
      <c r="E206" s="44" t="s">
        <v>296</v>
      </c>
      <c r="F206" s="44" t="s">
        <v>2</v>
      </c>
      <c r="G206" s="44" t="s">
        <v>297</v>
      </c>
      <c r="H206" s="44" t="s">
        <v>298</v>
      </c>
      <c r="I206" s="44" t="s">
        <v>299</v>
      </c>
      <c r="J206" s="48" t="s">
        <v>300</v>
      </c>
      <c r="K206" s="48" t="s">
        <v>301</v>
      </c>
      <c r="L206" s="94"/>
      <c r="M206" s="502"/>
      <c r="N206" s="502"/>
      <c r="O206" s="27"/>
      <c r="P206" s="50"/>
      <c r="Q206" s="50"/>
      <c r="R206" s="50"/>
      <c r="S206" s="50"/>
      <c r="T206" s="50"/>
      <c r="U206" s="50"/>
    </row>
    <row r="207" spans="1:23" ht="30" customHeight="1" x14ac:dyDescent="0.25">
      <c r="A207" s="64" t="s">
        <v>324</v>
      </c>
      <c r="B207" s="217" t="s">
        <v>356</v>
      </c>
      <c r="C207" s="218"/>
      <c r="D207" s="219"/>
      <c r="E207" s="251">
        <v>244.2</v>
      </c>
      <c r="F207" s="51" t="s">
        <v>7</v>
      </c>
      <c r="G207" s="251">
        <v>30835.649142239457</v>
      </c>
      <c r="H207" s="251">
        <v>10430.597340201246</v>
      </c>
      <c r="I207" s="251">
        <v>0</v>
      </c>
      <c r="J207" s="252">
        <v>2362.98</v>
      </c>
      <c r="K207" s="1976">
        <v>41266.246482440707</v>
      </c>
      <c r="L207" s="51" t="s">
        <v>7</v>
      </c>
      <c r="P207" s="43"/>
      <c r="Q207" s="43"/>
      <c r="R207" s="43"/>
      <c r="S207" s="43"/>
      <c r="T207" s="43"/>
      <c r="U207" s="43"/>
    </row>
    <row r="208" spans="1:23" ht="30" customHeight="1" x14ac:dyDescent="0.25">
      <c r="A208" s="64" t="s">
        <v>322</v>
      </c>
      <c r="B208" s="217" t="s">
        <v>401</v>
      </c>
      <c r="C208" s="218"/>
      <c r="D208" s="219"/>
      <c r="E208" s="251">
        <v>1269.8399999999999</v>
      </c>
      <c r="F208" s="51" t="s">
        <v>7</v>
      </c>
      <c r="G208" s="251">
        <v>35506.884635995579</v>
      </c>
      <c r="H208" s="251">
        <v>12512.49562056861</v>
      </c>
      <c r="I208" s="251">
        <v>71.42319843083591</v>
      </c>
      <c r="J208" s="252">
        <v>4327.71</v>
      </c>
      <c r="K208" s="1976">
        <v>48090.803454995024</v>
      </c>
      <c r="L208" s="51" t="s">
        <v>7</v>
      </c>
      <c r="P208" s="43"/>
      <c r="Q208" s="43"/>
      <c r="R208" s="43"/>
      <c r="S208" s="43"/>
      <c r="T208" s="43"/>
      <c r="U208" s="43"/>
    </row>
    <row r="209" spans="1:23" ht="30" customHeight="1" x14ac:dyDescent="0.25">
      <c r="A209" s="64" t="s">
        <v>320</v>
      </c>
      <c r="B209" s="217" t="s">
        <v>355</v>
      </c>
      <c r="C209" s="218"/>
      <c r="D209" s="219"/>
      <c r="E209" s="251">
        <v>1050.06</v>
      </c>
      <c r="F209" s="51" t="s">
        <v>7</v>
      </c>
      <c r="G209" s="251">
        <v>30397.227590454058</v>
      </c>
      <c r="H209" s="251">
        <v>3943.0885345877114</v>
      </c>
      <c r="I209" s="251">
        <v>1233.5554933299748</v>
      </c>
      <c r="J209" s="252">
        <v>3578.68</v>
      </c>
      <c r="K209" s="1976">
        <v>35573.871618371741</v>
      </c>
      <c r="L209" s="51" t="s">
        <v>7</v>
      </c>
      <c r="P209" s="43"/>
      <c r="Q209" s="43"/>
      <c r="R209" s="43"/>
      <c r="S209" s="43"/>
      <c r="T209" s="43"/>
      <c r="U209" s="43"/>
    </row>
    <row r="210" spans="1:23" ht="30" customHeight="1" x14ac:dyDescent="0.25">
      <c r="A210" s="64" t="s">
        <v>318</v>
      </c>
      <c r="B210" s="217" t="s">
        <v>319</v>
      </c>
      <c r="C210" s="218"/>
      <c r="D210" s="219"/>
      <c r="E210" s="251">
        <v>644.39</v>
      </c>
      <c r="F210" s="51" t="s">
        <v>307</v>
      </c>
      <c r="G210" s="251">
        <v>6177.3596646562182</v>
      </c>
      <c r="H210" s="251">
        <v>3188.2046417813676</v>
      </c>
      <c r="I210" s="251">
        <v>0</v>
      </c>
      <c r="J210" s="252">
        <v>1571.35</v>
      </c>
      <c r="K210" s="1976">
        <v>9365.5643064375854</v>
      </c>
      <c r="L210" s="51" t="s">
        <v>307</v>
      </c>
      <c r="P210" s="43"/>
      <c r="Q210" s="43"/>
      <c r="R210" s="43"/>
      <c r="S210" s="43"/>
      <c r="T210" s="43"/>
      <c r="U210" s="43"/>
    </row>
    <row r="211" spans="1:23" ht="30" customHeight="1" x14ac:dyDescent="0.25">
      <c r="A211" s="64" t="s">
        <v>316</v>
      </c>
      <c r="B211" s="129" t="s">
        <v>317</v>
      </c>
      <c r="C211" s="130"/>
      <c r="D211" s="131"/>
      <c r="E211" s="97">
        <v>644.39</v>
      </c>
      <c r="F211" s="51" t="s">
        <v>307</v>
      </c>
      <c r="G211" s="98">
        <v>74510.131167422805</v>
      </c>
      <c r="H211" s="98">
        <v>8411.3236823692587</v>
      </c>
      <c r="I211" s="98">
        <v>1.4918071144186729</v>
      </c>
      <c r="J211" s="98">
        <v>71152.929999999993</v>
      </c>
      <c r="K211" s="1621">
        <v>82922.946656906483</v>
      </c>
      <c r="L211" s="51" t="s">
        <v>307</v>
      </c>
      <c r="M211" s="1886"/>
      <c r="N211" s="1886"/>
      <c r="R211" s="43"/>
      <c r="S211" s="43"/>
      <c r="T211" s="43"/>
      <c r="U211" s="60"/>
      <c r="V211" s="60"/>
      <c r="W211" s="43"/>
    </row>
    <row r="212" spans="1:23" ht="30" customHeight="1" x14ac:dyDescent="0.25">
      <c r="A212" s="64" t="s">
        <v>314</v>
      </c>
      <c r="B212" s="129" t="s">
        <v>315</v>
      </c>
      <c r="C212" s="130"/>
      <c r="D212" s="131"/>
      <c r="E212" s="97">
        <v>2442</v>
      </c>
      <c r="F212" s="51" t="s">
        <v>3</v>
      </c>
      <c r="G212" s="98">
        <v>0</v>
      </c>
      <c r="H212" s="98">
        <v>1327.297421258741</v>
      </c>
      <c r="I212" s="98">
        <v>1671.8003340761495</v>
      </c>
      <c r="J212" s="98">
        <v>27206.2</v>
      </c>
      <c r="K212" s="1621">
        <v>2999.0977553348907</v>
      </c>
      <c r="L212" s="51" t="s">
        <v>3</v>
      </c>
      <c r="M212" s="12"/>
      <c r="N212" s="671"/>
      <c r="R212" s="43"/>
      <c r="S212" s="43"/>
      <c r="T212" s="43"/>
      <c r="U212" s="60"/>
      <c r="V212" s="60"/>
      <c r="W212" s="43"/>
    </row>
    <row r="213" spans="1:23" ht="30" customHeight="1" x14ac:dyDescent="0.25">
      <c r="A213" s="64" t="s">
        <v>338</v>
      </c>
      <c r="B213" s="138" t="s">
        <v>372</v>
      </c>
      <c r="C213" s="139"/>
      <c r="D213" s="140"/>
      <c r="E213" s="97">
        <v>2442</v>
      </c>
      <c r="F213" s="51" t="s">
        <v>3</v>
      </c>
      <c r="G213" s="98">
        <v>29831.956069685424</v>
      </c>
      <c r="H213" s="98">
        <v>0</v>
      </c>
      <c r="I213" s="98">
        <v>0</v>
      </c>
      <c r="J213" s="98">
        <v>45547.26</v>
      </c>
      <c r="K213" s="1621">
        <v>29831.956069685424</v>
      </c>
      <c r="L213" s="51" t="s">
        <v>3</v>
      </c>
      <c r="M213" s="12"/>
      <c r="N213" s="671"/>
      <c r="R213" s="43"/>
      <c r="S213" s="43"/>
      <c r="T213" s="43"/>
      <c r="U213" s="60"/>
      <c r="V213" s="60"/>
      <c r="W213" s="43"/>
    </row>
    <row r="214" spans="1:23" ht="30" customHeight="1" x14ac:dyDescent="0.25">
      <c r="A214" s="64" t="s">
        <v>310</v>
      </c>
      <c r="B214" s="129" t="s">
        <v>311</v>
      </c>
      <c r="C214" s="130"/>
      <c r="D214" s="131"/>
      <c r="E214" s="97">
        <v>2442</v>
      </c>
      <c r="F214" s="51" t="s">
        <v>3</v>
      </c>
      <c r="G214" s="98">
        <v>7922.628178003517</v>
      </c>
      <c r="H214" s="98">
        <v>1107.3767927249928</v>
      </c>
      <c r="I214" s="98">
        <v>1544.8088857981584</v>
      </c>
      <c r="J214" s="98">
        <v>6951.22</v>
      </c>
      <c r="K214" s="1621">
        <v>10574.813856526667</v>
      </c>
      <c r="L214" s="51" t="s">
        <v>3</v>
      </c>
      <c r="M214" s="12"/>
      <c r="N214" s="671"/>
      <c r="R214" s="43"/>
      <c r="S214" s="43"/>
      <c r="T214" s="43"/>
      <c r="U214" s="60"/>
      <c r="V214" s="60"/>
      <c r="W214" s="43"/>
    </row>
    <row r="215" spans="1:23" ht="30" customHeight="1" x14ac:dyDescent="0.25">
      <c r="A215" s="64" t="s">
        <v>308</v>
      </c>
      <c r="B215" s="129" t="s">
        <v>309</v>
      </c>
      <c r="C215" s="130"/>
      <c r="D215" s="131"/>
      <c r="E215" s="97">
        <v>850.55</v>
      </c>
      <c r="F215" s="51" t="s">
        <v>307</v>
      </c>
      <c r="G215" s="98">
        <v>19774.808557268156</v>
      </c>
      <c r="H215" s="98">
        <v>38842.142145812068</v>
      </c>
      <c r="I215" s="98">
        <v>17873.366282445917</v>
      </c>
      <c r="J215" s="98">
        <v>20089.18</v>
      </c>
      <c r="K215" s="1621">
        <v>76490.316985526137</v>
      </c>
      <c r="L215" s="51" t="s">
        <v>307</v>
      </c>
      <c r="M215" s="12"/>
      <c r="N215" s="671"/>
      <c r="R215" s="43"/>
      <c r="S215" s="43"/>
      <c r="T215" s="43"/>
      <c r="U215" s="60"/>
      <c r="V215" s="60"/>
      <c r="W215" s="43"/>
    </row>
    <row r="216" spans="1:23" ht="30" customHeight="1" x14ac:dyDescent="0.25">
      <c r="A216" s="64" t="s">
        <v>302</v>
      </c>
      <c r="B216" s="129" t="s">
        <v>303</v>
      </c>
      <c r="C216" s="130"/>
      <c r="D216" s="131"/>
      <c r="E216" s="97">
        <v>3065.93</v>
      </c>
      <c r="F216" s="51" t="s">
        <v>3</v>
      </c>
      <c r="G216" s="98">
        <v>0</v>
      </c>
      <c r="H216" s="98">
        <v>12767.912975205383</v>
      </c>
      <c r="I216" s="98">
        <v>30542.974933153906</v>
      </c>
      <c r="J216" s="98">
        <v>1815.89</v>
      </c>
      <c r="K216" s="1621">
        <v>43310.887908359291</v>
      </c>
      <c r="L216" s="51" t="s">
        <v>3</v>
      </c>
      <c r="M216" s="12"/>
      <c r="N216" s="671"/>
      <c r="R216" s="43"/>
      <c r="S216" s="43"/>
      <c r="T216" s="43"/>
      <c r="U216" s="60"/>
      <c r="V216" s="60"/>
      <c r="W216" s="43"/>
    </row>
    <row r="217" spans="1:23" ht="30" customHeight="1" x14ac:dyDescent="0.25">
      <c r="A217" s="64" t="s">
        <v>402</v>
      </c>
      <c r="B217" s="138" t="s">
        <v>403</v>
      </c>
      <c r="C217" s="139"/>
      <c r="D217" s="140"/>
      <c r="E217" s="97">
        <v>1</v>
      </c>
      <c r="F217" s="253" t="s">
        <v>11</v>
      </c>
      <c r="G217" s="144">
        <v>105660.4094443666</v>
      </c>
      <c r="H217" s="132">
        <v>0</v>
      </c>
      <c r="I217" s="98">
        <v>0</v>
      </c>
      <c r="J217" s="144">
        <v>54550.14</v>
      </c>
      <c r="K217" s="1621">
        <v>105660.4094443666</v>
      </c>
      <c r="L217" s="51" t="s">
        <v>11</v>
      </c>
      <c r="M217" s="12"/>
      <c r="N217" s="671"/>
      <c r="R217" s="43"/>
      <c r="S217" s="43"/>
      <c r="T217" s="43"/>
      <c r="U217" s="60"/>
      <c r="V217" s="60"/>
      <c r="W217" s="43"/>
    </row>
    <row r="218" spans="1:23" ht="30" customHeight="1" x14ac:dyDescent="0.25">
      <c r="A218" s="64" t="s">
        <v>404</v>
      </c>
      <c r="B218" s="129" t="s">
        <v>405</v>
      </c>
      <c r="C218" s="130"/>
      <c r="D218" s="131"/>
      <c r="E218" s="97">
        <v>1</v>
      </c>
      <c r="F218" s="253" t="s">
        <v>11</v>
      </c>
      <c r="G218" s="144">
        <v>0</v>
      </c>
      <c r="H218" s="132">
        <v>517.96352769643079</v>
      </c>
      <c r="I218" s="98">
        <v>1933.519876569359</v>
      </c>
      <c r="J218" s="144">
        <v>5817.49</v>
      </c>
      <c r="K218" s="1621">
        <v>2451.4834042657899</v>
      </c>
      <c r="L218" s="51" t="s">
        <v>11</v>
      </c>
      <c r="M218" s="12"/>
      <c r="N218" s="671"/>
      <c r="R218" s="43"/>
      <c r="S218" s="43"/>
      <c r="T218" s="43"/>
      <c r="U218" s="60"/>
      <c r="V218" s="60"/>
      <c r="W218" s="43"/>
    </row>
    <row r="219" spans="1:23" ht="30" customHeight="1" x14ac:dyDescent="0.25">
      <c r="A219" s="64" t="s">
        <v>406</v>
      </c>
      <c r="B219" s="129" t="s">
        <v>407</v>
      </c>
      <c r="C219" s="130"/>
      <c r="D219" s="131"/>
      <c r="E219" s="97">
        <v>2</v>
      </c>
      <c r="F219" s="253" t="s">
        <v>11</v>
      </c>
      <c r="G219" s="144">
        <v>1703.3650582707562</v>
      </c>
      <c r="H219" s="132">
        <v>4676.9627661889999</v>
      </c>
      <c r="I219" s="98">
        <v>0</v>
      </c>
      <c r="J219" s="144">
        <v>23350.6</v>
      </c>
      <c r="K219" s="1621">
        <v>6380.3278244597559</v>
      </c>
      <c r="L219" s="51" t="s">
        <v>11</v>
      </c>
      <c r="M219" s="12"/>
      <c r="N219" s="671"/>
      <c r="R219" s="43"/>
      <c r="S219" s="43"/>
      <c r="T219" s="43"/>
      <c r="U219" s="60"/>
      <c r="V219" s="60"/>
      <c r="W219" s="43"/>
    </row>
    <row r="220" spans="1:23" ht="30" customHeight="1" x14ac:dyDescent="0.25">
      <c r="A220" s="64" t="s">
        <v>408</v>
      </c>
      <c r="B220" s="138" t="s">
        <v>409</v>
      </c>
      <c r="C220" s="139"/>
      <c r="D220" s="140"/>
      <c r="E220" s="97">
        <v>2</v>
      </c>
      <c r="F220" s="253" t="s">
        <v>11</v>
      </c>
      <c r="G220" s="144">
        <v>2059.8833262809144</v>
      </c>
      <c r="H220" s="132">
        <v>5655.8619498099515</v>
      </c>
      <c r="I220" s="98">
        <v>0</v>
      </c>
      <c r="J220" s="144">
        <v>30464.25</v>
      </c>
      <c r="K220" s="1621">
        <v>7715.7452760908664</v>
      </c>
      <c r="L220" s="51" t="s">
        <v>11</v>
      </c>
      <c r="M220" s="12"/>
      <c r="N220" s="671"/>
      <c r="R220" s="43"/>
      <c r="S220" s="43"/>
      <c r="T220" s="43"/>
      <c r="U220" s="60"/>
      <c r="V220" s="60"/>
      <c r="W220" s="43"/>
    </row>
    <row r="221" spans="1:23" ht="30" customHeight="1" x14ac:dyDescent="0.25">
      <c r="A221" s="64" t="s">
        <v>410</v>
      </c>
      <c r="B221" s="129" t="s">
        <v>411</v>
      </c>
      <c r="C221" s="130"/>
      <c r="D221" s="131"/>
      <c r="E221" s="97">
        <v>20</v>
      </c>
      <c r="F221" s="253" t="s">
        <v>11</v>
      </c>
      <c r="G221" s="144">
        <v>767.28155777962002</v>
      </c>
      <c r="H221" s="132">
        <v>3551.1342563244107</v>
      </c>
      <c r="I221" s="98">
        <v>0</v>
      </c>
      <c r="J221" s="144">
        <v>26188.09</v>
      </c>
      <c r="K221" s="1621">
        <v>4318.4158141040307</v>
      </c>
      <c r="L221" s="51" t="s">
        <v>11</v>
      </c>
      <c r="M221" s="12"/>
      <c r="N221" s="671"/>
      <c r="R221" s="43"/>
      <c r="S221" s="43"/>
      <c r="T221" s="43"/>
      <c r="U221" s="60"/>
      <c r="V221" s="60"/>
      <c r="W221" s="43"/>
    </row>
    <row r="222" spans="1:23" ht="30" customHeight="1" x14ac:dyDescent="0.25">
      <c r="A222" s="51"/>
      <c r="B222" s="129"/>
      <c r="C222" s="130"/>
      <c r="D222" s="131"/>
      <c r="E222" s="97"/>
      <c r="F222" s="253"/>
      <c r="G222" s="144"/>
      <c r="H222" s="132"/>
      <c r="J222" s="242" t="s">
        <v>335</v>
      </c>
      <c r="K222" s="21">
        <f>SUM(K207:K221)</f>
        <v>506952.88685787097</v>
      </c>
      <c r="L222" s="147" t="s">
        <v>335</v>
      </c>
      <c r="M222" s="12"/>
      <c r="N222" s="671"/>
      <c r="R222" s="43"/>
      <c r="S222" s="43"/>
      <c r="T222" s="43"/>
      <c r="U222" s="60"/>
      <c r="V222" s="60"/>
      <c r="W222" s="43"/>
    </row>
    <row r="223" spans="1:23" ht="30" customHeight="1" x14ac:dyDescent="0.25">
      <c r="A223" s="148" t="s">
        <v>384</v>
      </c>
      <c r="B223" s="148"/>
      <c r="C223" s="148"/>
      <c r="D223" s="148"/>
      <c r="E223" s="148"/>
      <c r="F223" s="63"/>
      <c r="G223" s="63"/>
      <c r="H223" s="63"/>
      <c r="I223" s="150"/>
      <c r="J223" s="159" t="s">
        <v>358</v>
      </c>
      <c r="K223" s="21">
        <f>+K222/H205</f>
        <v>209.57126368659402</v>
      </c>
      <c r="L223" s="61" t="s">
        <v>3</v>
      </c>
      <c r="O223" s="58"/>
      <c r="P223" s="43"/>
      <c r="Q223" s="43"/>
      <c r="R223" s="43"/>
      <c r="S223" s="60"/>
      <c r="T223" s="60"/>
      <c r="U223" s="43"/>
    </row>
    <row r="224" spans="1:23" ht="30" customHeight="1" x14ac:dyDescent="0.25">
      <c r="A224" s="148"/>
      <c r="B224" s="148"/>
      <c r="C224" s="148"/>
      <c r="D224" s="148"/>
      <c r="E224" s="148"/>
      <c r="F224" s="254"/>
      <c r="G224" s="254"/>
      <c r="H224" s="89"/>
      <c r="I224" s="89"/>
      <c r="J224" s="136"/>
      <c r="K224" s="151"/>
      <c r="L224" s="61"/>
      <c r="N224" s="43"/>
      <c r="P224" s="43"/>
      <c r="Q224" s="43"/>
      <c r="R224" s="43"/>
      <c r="S224" s="60"/>
      <c r="T224" s="60"/>
      <c r="U224" s="43"/>
    </row>
    <row r="225" spans="1:23" ht="30" customHeight="1" thickBot="1" x14ac:dyDescent="0.3">
      <c r="A225" s="148"/>
      <c r="B225" s="148"/>
      <c r="C225" s="148"/>
      <c r="D225" s="148"/>
      <c r="E225" s="148"/>
      <c r="F225" s="65"/>
      <c r="G225" s="65"/>
      <c r="H225" s="157"/>
      <c r="I225" s="158"/>
      <c r="J225" s="159"/>
      <c r="K225" s="160"/>
      <c r="L225" s="48"/>
      <c r="P225" s="43"/>
      <c r="Q225" s="43"/>
      <c r="R225" s="43"/>
      <c r="S225" s="60"/>
      <c r="T225" s="60"/>
      <c r="U225" s="43"/>
    </row>
    <row r="226" spans="1:23" ht="30" customHeight="1" thickBot="1" x14ac:dyDescent="0.3">
      <c r="A226" s="76"/>
      <c r="B226" s="77"/>
      <c r="C226" s="77"/>
      <c r="D226" s="77"/>
      <c r="E226" s="77"/>
      <c r="F226" s="77"/>
      <c r="G226" s="77"/>
      <c r="H226" s="77"/>
      <c r="I226" s="77"/>
      <c r="J226" s="77"/>
      <c r="K226" s="77"/>
      <c r="L226" s="78"/>
      <c r="P226" s="43"/>
      <c r="Q226" s="43"/>
      <c r="R226" s="43"/>
      <c r="S226" s="60"/>
      <c r="T226" s="60"/>
      <c r="U226" s="43"/>
    </row>
    <row r="227" spans="1:23" ht="30" customHeight="1" x14ac:dyDescent="0.25">
      <c r="A227" s="207" t="s">
        <v>288</v>
      </c>
      <c r="B227" s="208">
        <v>1211</v>
      </c>
      <c r="C227" s="209" t="s">
        <v>412</v>
      </c>
      <c r="D227" s="210"/>
      <c r="E227" s="36" t="s">
        <v>291</v>
      </c>
      <c r="F227" s="37" t="s">
        <v>5</v>
      </c>
      <c r="G227" s="255" t="s">
        <v>413</v>
      </c>
      <c r="H227" s="256">
        <v>16.54</v>
      </c>
      <c r="I227" s="36" t="s">
        <v>292</v>
      </c>
      <c r="J227" s="38" t="s">
        <v>414</v>
      </c>
      <c r="K227" s="39"/>
      <c r="L227" s="40"/>
      <c r="P227" s="43"/>
      <c r="Q227" s="43"/>
      <c r="R227" s="43"/>
      <c r="S227" s="60"/>
      <c r="T227" s="60"/>
      <c r="U227" s="43"/>
    </row>
    <row r="228" spans="1:23" s="49" customFormat="1" ht="30" customHeight="1" x14ac:dyDescent="0.25">
      <c r="A228" s="44" t="s">
        <v>294</v>
      </c>
      <c r="B228" s="45" t="s">
        <v>295</v>
      </c>
      <c r="C228" s="45"/>
      <c r="D228" s="45"/>
      <c r="E228" s="44" t="s">
        <v>296</v>
      </c>
      <c r="F228" s="44" t="s">
        <v>2</v>
      </c>
      <c r="G228" s="44" t="s">
        <v>297</v>
      </c>
      <c r="H228" s="44" t="s">
        <v>298</v>
      </c>
      <c r="I228" s="44" t="s">
        <v>299</v>
      </c>
      <c r="J228" s="211" t="s">
        <v>300</v>
      </c>
      <c r="K228" s="48" t="s">
        <v>301</v>
      </c>
      <c r="L228" s="48"/>
      <c r="M228" s="502"/>
      <c r="N228" s="502"/>
      <c r="O228" s="27"/>
      <c r="P228" s="50"/>
      <c r="Q228" s="50"/>
      <c r="R228" s="50"/>
      <c r="S228" s="212"/>
      <c r="T228" s="212"/>
      <c r="U228" s="50"/>
    </row>
    <row r="229" spans="1:23" ht="30" customHeight="1" x14ac:dyDescent="0.25">
      <c r="A229" s="255" t="s">
        <v>415</v>
      </c>
      <c r="B229" s="257" t="s">
        <v>416</v>
      </c>
      <c r="C229" s="257"/>
      <c r="D229" s="257"/>
      <c r="E229" s="97">
        <v>17</v>
      </c>
      <c r="F229" s="51" t="s">
        <v>11</v>
      </c>
      <c r="G229" s="66">
        <v>39559.550000000003</v>
      </c>
      <c r="H229" s="66">
        <v>16191.42</v>
      </c>
      <c r="I229" s="66">
        <v>0</v>
      </c>
      <c r="J229" s="1837">
        <v>34082.089999999997</v>
      </c>
      <c r="K229" s="66">
        <v>55750.97</v>
      </c>
      <c r="L229" s="51" t="s">
        <v>7</v>
      </c>
      <c r="P229" s="43"/>
      <c r="Q229" s="43"/>
      <c r="R229" s="43"/>
      <c r="S229" s="60"/>
      <c r="T229" s="60"/>
      <c r="U229" s="43"/>
    </row>
    <row r="230" spans="1:23" ht="30" customHeight="1" x14ac:dyDescent="0.25">
      <c r="A230" s="255" t="s">
        <v>417</v>
      </c>
      <c r="B230" s="257" t="s">
        <v>418</v>
      </c>
      <c r="C230" s="257"/>
      <c r="D230" s="257"/>
      <c r="E230" s="97">
        <v>252</v>
      </c>
      <c r="F230" s="51" t="s">
        <v>7</v>
      </c>
      <c r="G230" s="66">
        <v>35230.19</v>
      </c>
      <c r="H230" s="66">
        <v>12523.95</v>
      </c>
      <c r="I230" s="66">
        <v>177.09</v>
      </c>
      <c r="J230" s="1837">
        <v>29510.05</v>
      </c>
      <c r="K230" s="66">
        <v>47931.23</v>
      </c>
      <c r="L230" s="51" t="s">
        <v>7</v>
      </c>
      <c r="P230" s="43"/>
      <c r="Q230" s="43"/>
      <c r="R230" s="43"/>
      <c r="S230" s="60"/>
      <c r="T230" s="60"/>
      <c r="U230" s="43"/>
    </row>
    <row r="231" spans="1:23" ht="30" customHeight="1" x14ac:dyDescent="0.25">
      <c r="A231" s="255" t="s">
        <v>419</v>
      </c>
      <c r="B231" s="257" t="s">
        <v>420</v>
      </c>
      <c r="C231" s="257"/>
      <c r="D231" s="257"/>
      <c r="E231" s="97">
        <v>252</v>
      </c>
      <c r="F231" s="51" t="s">
        <v>7</v>
      </c>
      <c r="G231" s="66">
        <v>185.62</v>
      </c>
      <c r="H231" s="66">
        <v>304.88</v>
      </c>
      <c r="I231" s="66">
        <v>0</v>
      </c>
      <c r="J231" s="1837">
        <v>275.62</v>
      </c>
      <c r="K231" s="66">
        <v>490.5</v>
      </c>
      <c r="L231" s="51" t="s">
        <v>11</v>
      </c>
      <c r="M231" s="12"/>
      <c r="N231" s="671"/>
      <c r="R231" s="43"/>
      <c r="S231" s="43"/>
      <c r="T231" s="43"/>
      <c r="U231" s="60"/>
      <c r="V231" s="60"/>
      <c r="W231" s="43"/>
    </row>
    <row r="232" spans="1:23" ht="30" customHeight="1" x14ac:dyDescent="0.25">
      <c r="A232" s="255" t="s">
        <v>421</v>
      </c>
      <c r="B232" s="258" t="s">
        <v>422</v>
      </c>
      <c r="C232" s="259"/>
      <c r="D232" s="260"/>
      <c r="E232" s="97">
        <v>3</v>
      </c>
      <c r="F232" s="51" t="s">
        <v>11</v>
      </c>
      <c r="G232" s="66">
        <v>1177.05</v>
      </c>
      <c r="H232" s="66">
        <v>253.98</v>
      </c>
      <c r="I232" s="66">
        <v>0</v>
      </c>
      <c r="J232" s="1837">
        <v>898.94</v>
      </c>
      <c r="K232" s="66">
        <v>1431.03</v>
      </c>
      <c r="L232" s="51" t="s">
        <v>307</v>
      </c>
      <c r="P232" s="43"/>
      <c r="Q232" s="43"/>
      <c r="R232" s="43"/>
      <c r="S232" s="60"/>
      <c r="T232" s="60"/>
      <c r="U232" s="43"/>
    </row>
    <row r="233" spans="1:23" ht="30" customHeight="1" x14ac:dyDescent="0.25">
      <c r="A233" s="255" t="s">
        <v>423</v>
      </c>
      <c r="B233" s="257" t="s">
        <v>424</v>
      </c>
      <c r="C233" s="257"/>
      <c r="D233" s="257"/>
      <c r="E233" s="97">
        <v>9040</v>
      </c>
      <c r="F233" s="51" t="s">
        <v>307</v>
      </c>
      <c r="G233" s="66">
        <v>0</v>
      </c>
      <c r="H233" s="66">
        <v>1346542.64</v>
      </c>
      <c r="I233" s="66">
        <v>859569.13</v>
      </c>
      <c r="J233" s="1837">
        <v>1243327.7</v>
      </c>
      <c r="K233" s="66">
        <v>2206111.7599999998</v>
      </c>
      <c r="L233" s="51" t="s">
        <v>307</v>
      </c>
      <c r="N233" s="1888"/>
      <c r="P233" s="43"/>
      <c r="Q233" s="43"/>
      <c r="R233" s="43"/>
      <c r="S233" s="60"/>
      <c r="T233" s="60"/>
      <c r="U233" s="43"/>
    </row>
    <row r="234" spans="1:23" ht="30" customHeight="1" x14ac:dyDescent="0.25">
      <c r="A234" s="261" t="s">
        <v>425</v>
      </c>
      <c r="B234" s="257" t="s">
        <v>426</v>
      </c>
      <c r="C234" s="257"/>
      <c r="D234" s="257"/>
      <c r="E234" s="97">
        <v>9040</v>
      </c>
      <c r="F234" s="51" t="s">
        <v>307</v>
      </c>
      <c r="G234" s="66">
        <v>3050817.74</v>
      </c>
      <c r="H234" s="66">
        <v>91542.79</v>
      </c>
      <c r="I234" s="66">
        <v>79477.31</v>
      </c>
      <c r="J234" s="1837">
        <v>2095566.54</v>
      </c>
      <c r="K234" s="66">
        <v>3221837.83</v>
      </c>
      <c r="L234" s="51" t="s">
        <v>7</v>
      </c>
      <c r="N234" s="1888"/>
      <c r="P234" s="43"/>
      <c r="Q234" s="43"/>
      <c r="R234" s="43"/>
      <c r="S234" s="60"/>
      <c r="T234" s="60"/>
      <c r="U234" s="43"/>
    </row>
    <row r="235" spans="1:23" ht="30" customHeight="1" x14ac:dyDescent="0.25">
      <c r="A235" s="261" t="s">
        <v>427</v>
      </c>
      <c r="B235" s="262" t="s">
        <v>428</v>
      </c>
      <c r="C235" s="262"/>
      <c r="D235" s="263"/>
      <c r="E235" s="97">
        <v>17</v>
      </c>
      <c r="F235" s="51" t="s">
        <v>11</v>
      </c>
      <c r="G235" s="66">
        <v>159426.82</v>
      </c>
      <c r="H235" s="66">
        <v>38732.410000000003</v>
      </c>
      <c r="I235" s="66">
        <v>0</v>
      </c>
      <c r="J235" s="1837">
        <v>123948.22</v>
      </c>
      <c r="K235" s="66">
        <v>198159.23</v>
      </c>
      <c r="L235" s="51" t="s">
        <v>11</v>
      </c>
      <c r="N235" s="1888"/>
      <c r="P235" s="43"/>
      <c r="Q235" s="43"/>
      <c r="R235" s="43"/>
      <c r="S235" s="60"/>
      <c r="T235" s="60"/>
      <c r="U235" s="43"/>
    </row>
    <row r="236" spans="1:23" ht="30" customHeight="1" x14ac:dyDescent="0.25">
      <c r="A236" s="261" t="s">
        <v>429</v>
      </c>
      <c r="B236" s="259" t="s">
        <v>430</v>
      </c>
      <c r="C236" s="259"/>
      <c r="D236" s="260"/>
      <c r="E236" s="97">
        <v>252</v>
      </c>
      <c r="F236" s="51" t="s">
        <v>7</v>
      </c>
      <c r="G236" s="66">
        <v>2424.44</v>
      </c>
      <c r="H236" s="66">
        <v>3913.12</v>
      </c>
      <c r="I236" s="66">
        <v>703.9</v>
      </c>
      <c r="J236" s="1837">
        <v>4025.87</v>
      </c>
      <c r="K236" s="66">
        <v>7041.46</v>
      </c>
      <c r="L236" s="51" t="s">
        <v>7</v>
      </c>
      <c r="N236" s="1888"/>
      <c r="P236" s="43"/>
      <c r="Q236" s="43"/>
      <c r="R236" s="43"/>
      <c r="S236" s="60"/>
      <c r="T236" s="60"/>
      <c r="U236" s="43"/>
    </row>
    <row r="237" spans="1:23" ht="30" customHeight="1" x14ac:dyDescent="0.25">
      <c r="A237" s="261" t="s">
        <v>431</v>
      </c>
      <c r="B237" s="262" t="s">
        <v>432</v>
      </c>
      <c r="C237" s="262"/>
      <c r="D237" s="263"/>
      <c r="E237" s="97">
        <v>17</v>
      </c>
      <c r="F237" s="51" t="s">
        <v>11</v>
      </c>
      <c r="G237" s="66">
        <v>213386.47</v>
      </c>
      <c r="H237" s="66">
        <v>45724.34</v>
      </c>
      <c r="I237" s="66">
        <v>11137.05</v>
      </c>
      <c r="J237" s="1837">
        <v>170098.81</v>
      </c>
      <c r="K237" s="66">
        <v>270247.86</v>
      </c>
      <c r="L237" s="51" t="s">
        <v>11</v>
      </c>
      <c r="N237" s="1888"/>
      <c r="P237" s="43"/>
      <c r="Q237" s="43"/>
      <c r="R237" s="43"/>
      <c r="S237" s="60"/>
      <c r="T237" s="60"/>
      <c r="U237" s="43"/>
    </row>
    <row r="238" spans="1:23" ht="30" customHeight="1" x14ac:dyDescent="0.25">
      <c r="A238" s="195" t="s">
        <v>433</v>
      </c>
      <c r="B238" s="196"/>
      <c r="C238" s="196"/>
      <c r="D238" s="197"/>
      <c r="E238" s="63"/>
      <c r="F238" s="63"/>
      <c r="G238" s="1838"/>
      <c r="H238" s="1838"/>
      <c r="I238" s="1838"/>
      <c r="J238" s="1824">
        <f>SUM(J229:J237)</f>
        <v>3701733.8400000003</v>
      </c>
      <c r="K238" s="169">
        <v>6009001.8828668529</v>
      </c>
      <c r="L238" s="147" t="s">
        <v>335</v>
      </c>
      <c r="M238" s="1888"/>
      <c r="P238" s="43"/>
      <c r="Q238" s="43"/>
      <c r="R238" s="43"/>
      <c r="S238" s="60"/>
      <c r="T238" s="60"/>
      <c r="U238" s="43"/>
    </row>
    <row r="239" spans="1:23" ht="30" customHeight="1" x14ac:dyDescent="0.25">
      <c r="A239" s="201"/>
      <c r="B239" s="202"/>
      <c r="C239" s="202"/>
      <c r="D239" s="203"/>
      <c r="E239" s="268"/>
      <c r="F239" s="63"/>
      <c r="G239" s="63"/>
      <c r="H239" s="63"/>
      <c r="I239" s="136"/>
      <c r="J239" s="136" t="s">
        <v>435</v>
      </c>
      <c r="K239" s="267">
        <f>+K238/H227</f>
        <v>363301.20210803224</v>
      </c>
      <c r="L239" s="147" t="s">
        <v>5</v>
      </c>
      <c r="P239" s="43"/>
      <c r="Q239" s="43"/>
      <c r="R239" s="43"/>
      <c r="S239" s="60"/>
      <c r="T239" s="60"/>
      <c r="U239" s="43"/>
    </row>
    <row r="240" spans="1:23" ht="30" customHeight="1" thickBot="1" x14ac:dyDescent="0.3">
      <c r="A240" s="204"/>
      <c r="B240" s="205"/>
      <c r="C240" s="205"/>
      <c r="D240" s="206"/>
      <c r="E240"/>
      <c r="F240" s="89"/>
      <c r="G240" s="89"/>
      <c r="H240" s="89"/>
      <c r="I240" s="269"/>
      <c r="J240" s="159" t="s">
        <v>358</v>
      </c>
      <c r="K240" s="270">
        <f>+K239</f>
        <v>363301.20210803224</v>
      </c>
      <c r="L240" s="147" t="s">
        <v>5</v>
      </c>
      <c r="P240" s="43"/>
      <c r="Q240" s="43"/>
      <c r="R240" s="43"/>
      <c r="S240" s="60"/>
      <c r="T240" s="60"/>
      <c r="U240" s="43"/>
    </row>
    <row r="241" spans="1:23" ht="30" customHeight="1" thickBot="1" x14ac:dyDescent="0.3">
      <c r="A241" s="76"/>
      <c r="B241" s="77"/>
      <c r="C241" s="77"/>
      <c r="D241" s="77"/>
      <c r="E241" s="77"/>
      <c r="F241" s="77"/>
      <c r="G241" s="77"/>
      <c r="H241" s="77"/>
      <c r="I241" s="77"/>
      <c r="J241" s="77"/>
      <c r="K241" s="77"/>
      <c r="L241" s="78"/>
      <c r="M241" s="43"/>
    </row>
    <row r="242" spans="1:23" ht="30" customHeight="1" x14ac:dyDescent="0.25">
      <c r="A242" s="207" t="s">
        <v>288</v>
      </c>
      <c r="B242" s="208">
        <v>1231</v>
      </c>
      <c r="C242" s="209" t="s">
        <v>436</v>
      </c>
      <c r="D242" s="210"/>
      <c r="E242" s="36" t="s">
        <v>291</v>
      </c>
      <c r="F242" s="37" t="s">
        <v>5</v>
      </c>
      <c r="G242" s="163" t="s">
        <v>290</v>
      </c>
      <c r="H242" s="164">
        <v>2</v>
      </c>
      <c r="I242" s="36" t="s">
        <v>292</v>
      </c>
      <c r="J242" s="38" t="s">
        <v>437</v>
      </c>
      <c r="K242" s="39"/>
      <c r="L242" s="40"/>
      <c r="P242" s="43"/>
      <c r="Q242" s="43"/>
      <c r="R242" s="43"/>
      <c r="S242" s="60"/>
      <c r="T242" s="60"/>
      <c r="U242" s="43"/>
    </row>
    <row r="243" spans="1:23" s="49" customFormat="1" ht="30" customHeight="1" x14ac:dyDescent="0.25">
      <c r="A243" s="44" t="s">
        <v>294</v>
      </c>
      <c r="B243" s="45" t="s">
        <v>295</v>
      </c>
      <c r="C243" s="45"/>
      <c r="D243" s="45"/>
      <c r="E243" s="44" t="s">
        <v>296</v>
      </c>
      <c r="F243" s="44" t="s">
        <v>2</v>
      </c>
      <c r="G243" s="46" t="s">
        <v>297</v>
      </c>
      <c r="H243" s="46" t="s">
        <v>298</v>
      </c>
      <c r="I243" s="46" t="s">
        <v>299</v>
      </c>
      <c r="J243" s="223" t="s">
        <v>300</v>
      </c>
      <c r="K243" s="47" t="s">
        <v>301</v>
      </c>
      <c r="L243" s="48"/>
      <c r="M243" s="502"/>
      <c r="N243" s="502"/>
      <c r="O243" s="27"/>
      <c r="P243" s="50"/>
      <c r="Q243" s="50"/>
      <c r="R243" s="50"/>
      <c r="S243" s="212"/>
      <c r="T243" s="212"/>
      <c r="U243" s="50"/>
    </row>
    <row r="244" spans="1:23" ht="30" customHeight="1" x14ac:dyDescent="0.25">
      <c r="A244" s="255" t="s">
        <v>438</v>
      </c>
      <c r="B244" s="271" t="s">
        <v>439</v>
      </c>
      <c r="C244" s="272"/>
      <c r="D244" s="273"/>
      <c r="E244" s="97">
        <v>1200</v>
      </c>
      <c r="F244" s="51" t="s">
        <v>9</v>
      </c>
      <c r="G244" s="66">
        <v>6706.22</v>
      </c>
      <c r="H244" s="66">
        <v>7725.48</v>
      </c>
      <c r="I244" s="66">
        <v>1825.43</v>
      </c>
      <c r="J244" s="1220">
        <v>9582.85</v>
      </c>
      <c r="K244" s="66">
        <v>16257.13</v>
      </c>
      <c r="L244" s="51" t="s">
        <v>9</v>
      </c>
      <c r="P244" s="43"/>
      <c r="Q244" s="43"/>
      <c r="R244" s="43"/>
      <c r="S244" s="60"/>
      <c r="T244" s="60"/>
      <c r="U244" s="43"/>
    </row>
    <row r="245" spans="1:23" ht="30" customHeight="1" x14ac:dyDescent="0.25">
      <c r="A245" s="255" t="s">
        <v>440</v>
      </c>
      <c r="B245" s="167" t="s">
        <v>441</v>
      </c>
      <c r="C245" s="257"/>
      <c r="D245" s="257"/>
      <c r="E245" s="97">
        <v>2</v>
      </c>
      <c r="F245" s="51" t="s">
        <v>11</v>
      </c>
      <c r="G245" s="66">
        <v>2972.62</v>
      </c>
      <c r="H245" s="66">
        <v>0</v>
      </c>
      <c r="I245" s="66">
        <v>0</v>
      </c>
      <c r="J245" s="1220">
        <v>1965.08</v>
      </c>
      <c r="K245" s="66">
        <v>2972.62</v>
      </c>
      <c r="L245" s="51" t="s">
        <v>11</v>
      </c>
      <c r="P245" s="43"/>
      <c r="Q245" s="43"/>
      <c r="R245" s="43"/>
      <c r="S245" s="60"/>
      <c r="T245" s="60"/>
      <c r="U245" s="43"/>
    </row>
    <row r="246" spans="1:23" ht="30" customHeight="1" x14ac:dyDescent="0.25">
      <c r="A246" s="255" t="s">
        <v>442</v>
      </c>
      <c r="B246" s="167" t="s">
        <v>443</v>
      </c>
      <c r="C246" s="257"/>
      <c r="D246" s="257"/>
      <c r="E246" s="97">
        <v>2</v>
      </c>
      <c r="F246" s="51" t="s">
        <v>11</v>
      </c>
      <c r="G246" s="66">
        <v>127450.89</v>
      </c>
      <c r="H246" s="66">
        <v>13226.05</v>
      </c>
      <c r="I246" s="66">
        <v>3198.49</v>
      </c>
      <c r="J246" s="1220">
        <v>93117.45</v>
      </c>
      <c r="K246" s="66">
        <v>143875.42000000001</v>
      </c>
      <c r="L246" s="51" t="s">
        <v>11</v>
      </c>
      <c r="M246" s="12"/>
      <c r="N246" s="671"/>
      <c r="R246" s="43"/>
      <c r="S246" s="43"/>
      <c r="T246" s="43"/>
      <c r="U246" s="60"/>
      <c r="V246" s="60"/>
      <c r="W246" s="43"/>
    </row>
    <row r="247" spans="1:23" ht="30" customHeight="1" x14ac:dyDescent="0.25">
      <c r="A247" s="255" t="s">
        <v>444</v>
      </c>
      <c r="B247" s="167" t="s">
        <v>445</v>
      </c>
      <c r="C247" s="257"/>
      <c r="D247" s="257"/>
      <c r="E247" s="97">
        <v>2</v>
      </c>
      <c r="F247" s="51" t="s">
        <v>11</v>
      </c>
      <c r="G247" s="66">
        <v>5999.04</v>
      </c>
      <c r="H247" s="66">
        <v>10786.56</v>
      </c>
      <c r="I247" s="66">
        <v>0</v>
      </c>
      <c r="J247" s="1220">
        <v>9470.9500000000007</v>
      </c>
      <c r="K247" s="66">
        <v>16785.599999999999</v>
      </c>
      <c r="L247" s="51" t="s">
        <v>11</v>
      </c>
      <c r="P247" s="43"/>
      <c r="Q247" s="43"/>
      <c r="R247" s="43"/>
      <c r="S247" s="60"/>
      <c r="T247" s="60"/>
      <c r="U247" s="43"/>
    </row>
    <row r="248" spans="1:23" ht="30" customHeight="1" x14ac:dyDescent="0.25">
      <c r="A248" s="255" t="s">
        <v>446</v>
      </c>
      <c r="B248" s="274" t="s">
        <v>447</v>
      </c>
      <c r="C248" s="275"/>
      <c r="D248" s="276"/>
      <c r="E248" s="97">
        <v>1</v>
      </c>
      <c r="F248" s="51" t="s">
        <v>11</v>
      </c>
      <c r="G248" s="66">
        <v>32401.52</v>
      </c>
      <c r="H248" s="66">
        <v>2997.13</v>
      </c>
      <c r="I248" s="66">
        <v>0</v>
      </c>
      <c r="J248" s="1220">
        <v>22949.03</v>
      </c>
      <c r="K248" s="66">
        <v>35398.639999999999</v>
      </c>
      <c r="L248" s="51" t="s">
        <v>11</v>
      </c>
      <c r="N248" s="1888"/>
      <c r="P248" s="43"/>
      <c r="Q248" s="43"/>
      <c r="R248" s="43"/>
      <c r="S248" s="60"/>
      <c r="T248" s="60"/>
      <c r="U248" s="43"/>
    </row>
    <row r="249" spans="1:23" ht="30" customHeight="1" x14ac:dyDescent="0.25">
      <c r="A249" s="261" t="s">
        <v>448</v>
      </c>
      <c r="B249" s="167" t="s">
        <v>449</v>
      </c>
      <c r="C249" s="257"/>
      <c r="D249" s="257"/>
      <c r="E249" s="97">
        <v>1500</v>
      </c>
      <c r="F249" s="51" t="s">
        <v>9</v>
      </c>
      <c r="G249" s="66">
        <v>122620.39</v>
      </c>
      <c r="H249" s="66">
        <v>27329.759999999998</v>
      </c>
      <c r="I249" s="66">
        <v>18741.240000000002</v>
      </c>
      <c r="J249" s="1220">
        <v>107397.12</v>
      </c>
      <c r="K249" s="66">
        <v>168691.39</v>
      </c>
      <c r="L249" s="51" t="s">
        <v>9</v>
      </c>
      <c r="N249" s="1888"/>
      <c r="P249" s="43"/>
      <c r="Q249" s="43"/>
      <c r="R249" s="43"/>
      <c r="S249" s="60"/>
      <c r="T249" s="60"/>
      <c r="U249" s="43"/>
    </row>
    <row r="250" spans="1:23" ht="30" customHeight="1" x14ac:dyDescent="0.25">
      <c r="A250" s="195" t="s">
        <v>450</v>
      </c>
      <c r="B250" s="196"/>
      <c r="C250" s="196"/>
      <c r="D250" s="197"/>
      <c r="E250" s="63"/>
      <c r="F250" s="63"/>
      <c r="G250" s="252"/>
      <c r="H250" s="252"/>
      <c r="I250" s="1839" t="s">
        <v>434</v>
      </c>
      <c r="J250" s="1839"/>
      <c r="K250" s="169">
        <v>383980.79284656391</v>
      </c>
      <c r="L250" s="147" t="s">
        <v>335</v>
      </c>
      <c r="M250" s="1888"/>
      <c r="P250" s="43"/>
      <c r="Q250" s="43"/>
      <c r="R250" s="43"/>
      <c r="S250" s="60"/>
      <c r="T250" s="60"/>
      <c r="U250" s="43"/>
    </row>
    <row r="251" spans="1:23" ht="30" customHeight="1" x14ac:dyDescent="0.25">
      <c r="A251" s="201"/>
      <c r="B251" s="202"/>
      <c r="C251" s="202"/>
      <c r="D251" s="203"/>
      <c r="E251" s="268"/>
      <c r="F251" s="63"/>
      <c r="G251" s="63"/>
      <c r="H251" s="63"/>
      <c r="I251" s="136"/>
      <c r="J251" s="136" t="s">
        <v>451</v>
      </c>
      <c r="K251" s="267">
        <f>+K250/H242</f>
        <v>191990.39642328196</v>
      </c>
      <c r="L251" s="147" t="s">
        <v>5</v>
      </c>
      <c r="P251" s="43"/>
      <c r="Q251" s="43"/>
      <c r="R251" s="43"/>
      <c r="S251" s="60"/>
      <c r="T251" s="60"/>
      <c r="U251" s="43"/>
    </row>
    <row r="252" spans="1:23" ht="30" customHeight="1" thickBot="1" x14ac:dyDescent="0.3">
      <c r="A252" s="204"/>
      <c r="B252" s="205"/>
      <c r="C252" s="205"/>
      <c r="D252" s="206"/>
      <c r="E252" s="63"/>
      <c r="F252" s="63"/>
      <c r="G252" s="63"/>
      <c r="H252" s="63"/>
      <c r="I252" s="136"/>
      <c r="J252" s="159" t="s">
        <v>358</v>
      </c>
      <c r="K252" s="270">
        <f>+K251</f>
        <v>191990.39642328196</v>
      </c>
      <c r="L252" s="61" t="s">
        <v>5</v>
      </c>
      <c r="O252" s="58"/>
    </row>
    <row r="253" spans="1:23" ht="30" customHeight="1" thickBot="1" x14ac:dyDescent="0.3">
      <c r="A253" s="76"/>
      <c r="B253" s="77"/>
      <c r="C253" s="77"/>
      <c r="D253" s="77"/>
      <c r="E253" s="77"/>
      <c r="F253" s="77"/>
      <c r="G253" s="77"/>
      <c r="H253" s="77"/>
      <c r="I253" s="77"/>
      <c r="J253" s="77"/>
      <c r="K253" s="77"/>
      <c r="L253" s="78"/>
      <c r="M253" s="43"/>
    </row>
    <row r="254" spans="1:23" ht="30" customHeight="1" x14ac:dyDescent="0.25">
      <c r="A254" s="207" t="s">
        <v>288</v>
      </c>
      <c r="B254" s="208">
        <v>1241</v>
      </c>
      <c r="C254" s="209" t="s">
        <v>452</v>
      </c>
      <c r="D254" s="210"/>
      <c r="E254" s="36" t="s">
        <v>291</v>
      </c>
      <c r="F254" s="37" t="s">
        <v>6</v>
      </c>
      <c r="G254" s="163" t="s">
        <v>290</v>
      </c>
      <c r="H254" s="164">
        <v>420000</v>
      </c>
      <c r="I254" s="36" t="s">
        <v>292</v>
      </c>
      <c r="J254" s="38" t="s">
        <v>437</v>
      </c>
      <c r="K254" s="39"/>
      <c r="L254" s="40"/>
      <c r="P254" s="43"/>
      <c r="Q254" s="43"/>
      <c r="R254" s="43"/>
      <c r="S254" s="60"/>
      <c r="T254" s="60"/>
      <c r="U254" s="43"/>
    </row>
    <row r="255" spans="1:23" s="49" customFormat="1" ht="30" customHeight="1" x14ac:dyDescent="0.25">
      <c r="A255" s="44" t="s">
        <v>294</v>
      </c>
      <c r="B255" s="45" t="s">
        <v>295</v>
      </c>
      <c r="C255" s="45"/>
      <c r="D255" s="45"/>
      <c r="E255" s="44" t="s">
        <v>296</v>
      </c>
      <c r="F255" s="44" t="s">
        <v>2</v>
      </c>
      <c r="G255" s="46" t="s">
        <v>297</v>
      </c>
      <c r="H255" s="46" t="s">
        <v>298</v>
      </c>
      <c r="I255" s="46" t="s">
        <v>299</v>
      </c>
      <c r="J255" s="223" t="s">
        <v>300</v>
      </c>
      <c r="K255" s="47" t="s">
        <v>301</v>
      </c>
      <c r="L255" s="48"/>
      <c r="M255" s="502"/>
      <c r="N255" s="502"/>
      <c r="O255" s="27"/>
      <c r="P255" s="50"/>
      <c r="Q255" s="50"/>
      <c r="R255" s="50"/>
      <c r="S255" s="212"/>
      <c r="T255" s="212"/>
      <c r="U255" s="50"/>
    </row>
    <row r="256" spans="1:23" ht="30" customHeight="1" x14ac:dyDescent="0.25">
      <c r="A256" s="255" t="s">
        <v>453</v>
      </c>
      <c r="B256" s="167" t="s">
        <v>454</v>
      </c>
      <c r="C256" s="257"/>
      <c r="D256" s="257"/>
      <c r="E256" s="97">
        <v>1704</v>
      </c>
      <c r="F256" s="51" t="s">
        <v>307</v>
      </c>
      <c r="G256" s="1985">
        <v>41327.71</v>
      </c>
      <c r="H256" s="1985">
        <v>3205.79</v>
      </c>
      <c r="I256" s="1985">
        <v>6762.22</v>
      </c>
      <c r="J256" s="55">
        <v>33103.17</v>
      </c>
      <c r="K256" s="1985">
        <v>51295.72</v>
      </c>
      <c r="L256" s="56" t="s">
        <v>307</v>
      </c>
      <c r="P256" s="43"/>
      <c r="Q256" s="43"/>
      <c r="R256" s="43"/>
      <c r="S256" s="60"/>
      <c r="T256" s="60"/>
      <c r="U256" s="43"/>
    </row>
    <row r="257" spans="1:23" ht="30" customHeight="1" x14ac:dyDescent="0.25">
      <c r="A257" s="255" t="s">
        <v>455</v>
      </c>
      <c r="B257" s="167" t="s">
        <v>456</v>
      </c>
      <c r="C257" s="257"/>
      <c r="D257" s="257"/>
      <c r="E257" s="97">
        <v>50</v>
      </c>
      <c r="F257" s="51" t="s">
        <v>307</v>
      </c>
      <c r="G257" s="1985">
        <v>22606.95</v>
      </c>
      <c r="H257" s="1985">
        <v>23721.47</v>
      </c>
      <c r="I257" s="1985">
        <v>1462.09</v>
      </c>
      <c r="J257" s="55">
        <v>27746.97</v>
      </c>
      <c r="K257" s="1985">
        <v>47790.5</v>
      </c>
      <c r="L257" s="56" t="s">
        <v>307</v>
      </c>
      <c r="P257" s="43"/>
      <c r="Q257" s="43"/>
      <c r="R257" s="43"/>
      <c r="S257" s="60"/>
      <c r="T257" s="60"/>
      <c r="U257" s="43"/>
    </row>
    <row r="258" spans="1:23" ht="30" customHeight="1" x14ac:dyDescent="0.25">
      <c r="A258" s="255" t="s">
        <v>457</v>
      </c>
      <c r="B258" s="167" t="s">
        <v>458</v>
      </c>
      <c r="C258" s="257"/>
      <c r="D258" s="257"/>
      <c r="E258" s="97">
        <v>389</v>
      </c>
      <c r="F258" s="51" t="s">
        <v>7</v>
      </c>
      <c r="G258" s="1985">
        <v>22185.22</v>
      </c>
      <c r="H258" s="1985">
        <v>8055.83</v>
      </c>
      <c r="I258" s="1985">
        <v>0</v>
      </c>
      <c r="J258" s="55">
        <v>18595.64</v>
      </c>
      <c r="K258" s="1985">
        <v>30241.040000000001</v>
      </c>
      <c r="L258" s="56" t="s">
        <v>7</v>
      </c>
      <c r="M258" s="12"/>
      <c r="N258" s="671"/>
      <c r="R258" s="43"/>
      <c r="S258" s="43"/>
      <c r="T258" s="43"/>
      <c r="U258" s="60"/>
      <c r="V258" s="60"/>
      <c r="W258" s="43"/>
    </row>
    <row r="259" spans="1:23" ht="30" customHeight="1" x14ac:dyDescent="0.25">
      <c r="A259" s="51" t="s">
        <v>459</v>
      </c>
      <c r="B259" s="167" t="s">
        <v>460</v>
      </c>
      <c r="C259" s="257"/>
      <c r="D259" s="257"/>
      <c r="E259" s="97">
        <v>2363.88</v>
      </c>
      <c r="F259" s="51" t="s">
        <v>7</v>
      </c>
      <c r="G259" s="1985">
        <v>42342.68</v>
      </c>
      <c r="H259" s="1985">
        <v>32338.69</v>
      </c>
      <c r="I259" s="1985">
        <v>0</v>
      </c>
      <c r="J259" s="55">
        <v>44065.59</v>
      </c>
      <c r="K259" s="1985">
        <v>74681.37</v>
      </c>
      <c r="L259" s="56" t="s">
        <v>7</v>
      </c>
      <c r="P259" s="43"/>
      <c r="Q259" s="43"/>
      <c r="R259" s="43"/>
      <c r="S259" s="60"/>
      <c r="T259" s="60"/>
      <c r="U259" s="43"/>
    </row>
    <row r="260" spans="1:23" ht="30" customHeight="1" x14ac:dyDescent="0.25">
      <c r="A260" s="51" t="s">
        <v>461</v>
      </c>
      <c r="B260" s="167" t="s">
        <v>462</v>
      </c>
      <c r="C260" s="257"/>
      <c r="D260" s="257"/>
      <c r="E260" s="97">
        <v>21</v>
      </c>
      <c r="F260" s="51" t="s">
        <v>11</v>
      </c>
      <c r="G260" s="1985">
        <v>13181.05</v>
      </c>
      <c r="H260" s="1985">
        <v>2708.84</v>
      </c>
      <c r="I260" s="1985">
        <v>479.15</v>
      </c>
      <c r="J260" s="55">
        <v>10312.02</v>
      </c>
      <c r="K260" s="1985">
        <v>16369.03</v>
      </c>
      <c r="L260" s="56" t="s">
        <v>11</v>
      </c>
      <c r="N260" s="1888"/>
      <c r="P260" s="43"/>
      <c r="Q260" s="43"/>
      <c r="R260" s="43"/>
      <c r="S260" s="60"/>
      <c r="T260" s="60"/>
      <c r="U260" s="43"/>
    </row>
    <row r="261" spans="1:23" ht="30" customHeight="1" x14ac:dyDescent="0.25">
      <c r="A261" s="51" t="s">
        <v>463</v>
      </c>
      <c r="B261" s="274" t="s">
        <v>464</v>
      </c>
      <c r="C261" s="275"/>
      <c r="D261" s="276"/>
      <c r="E261" s="97">
        <v>1</v>
      </c>
      <c r="F261" s="51" t="s">
        <v>11</v>
      </c>
      <c r="G261" s="1985">
        <v>0</v>
      </c>
      <c r="H261" s="1985">
        <v>0</v>
      </c>
      <c r="I261" s="1985">
        <v>0</v>
      </c>
      <c r="J261" s="55">
        <v>1380000</v>
      </c>
      <c r="K261" s="66">
        <v>1679149.3</v>
      </c>
      <c r="L261" s="56" t="s">
        <v>11</v>
      </c>
      <c r="N261" s="1888"/>
      <c r="P261" s="43"/>
      <c r="Q261" s="43"/>
      <c r="R261" s="43"/>
      <c r="S261" s="60"/>
      <c r="T261" s="60"/>
      <c r="U261" s="43"/>
    </row>
    <row r="262" spans="1:23" ht="30" customHeight="1" x14ac:dyDescent="0.25">
      <c r="A262" s="51" t="s">
        <v>465</v>
      </c>
      <c r="B262" s="167" t="s">
        <v>466</v>
      </c>
      <c r="C262" s="257"/>
      <c r="D262" s="257"/>
      <c r="E262" s="97">
        <v>405.83</v>
      </c>
      <c r="F262" s="51" t="s">
        <v>7</v>
      </c>
      <c r="G262" s="1985">
        <v>188936.73</v>
      </c>
      <c r="H262" s="1985">
        <v>20593.7</v>
      </c>
      <c r="I262" s="1985">
        <v>41190.86</v>
      </c>
      <c r="J262" s="55">
        <v>161065.54999999999</v>
      </c>
      <c r="K262" s="1985">
        <v>250721.29</v>
      </c>
      <c r="L262" s="56" t="s">
        <v>7</v>
      </c>
      <c r="N262" s="1888"/>
      <c r="P262" s="43"/>
      <c r="Q262" s="43"/>
      <c r="R262" s="43"/>
      <c r="S262" s="60"/>
      <c r="T262" s="60"/>
      <c r="U262" s="43"/>
    </row>
    <row r="263" spans="1:23" ht="30" customHeight="1" x14ac:dyDescent="0.25">
      <c r="A263" s="51" t="s">
        <v>467</v>
      </c>
      <c r="B263" s="167" t="s">
        <v>468</v>
      </c>
      <c r="C263" s="257"/>
      <c r="D263" s="257"/>
      <c r="E263" s="97">
        <v>7720.05</v>
      </c>
      <c r="F263" s="51" t="s">
        <v>9</v>
      </c>
      <c r="G263" s="1985">
        <v>82032.100000000006</v>
      </c>
      <c r="H263" s="1985">
        <v>59911.89</v>
      </c>
      <c r="I263" s="1985">
        <v>514.74</v>
      </c>
      <c r="J263" s="55">
        <v>84322.49</v>
      </c>
      <c r="K263" s="1985">
        <v>142458.72</v>
      </c>
      <c r="L263" s="56" t="s">
        <v>9</v>
      </c>
      <c r="N263" s="1888"/>
      <c r="P263" s="43"/>
      <c r="Q263" s="43"/>
      <c r="R263" s="43"/>
      <c r="S263" s="60"/>
      <c r="T263" s="60"/>
      <c r="U263" s="43"/>
    </row>
    <row r="264" spans="1:23" ht="30" customHeight="1" x14ac:dyDescent="0.25">
      <c r="A264" s="51" t="s">
        <v>469</v>
      </c>
      <c r="B264" s="258" t="s">
        <v>470</v>
      </c>
      <c r="C264" s="259"/>
      <c r="D264" s="260"/>
      <c r="E264" s="97">
        <v>2</v>
      </c>
      <c r="F264" s="51" t="s">
        <v>362</v>
      </c>
      <c r="G264" s="1985">
        <v>6978.84</v>
      </c>
      <c r="H264" s="1985">
        <v>1190.8499999999999</v>
      </c>
      <c r="I264" s="1985">
        <v>441.48</v>
      </c>
      <c r="J264" s="55">
        <v>5459.73</v>
      </c>
      <c r="K264" s="1985">
        <v>8611.17</v>
      </c>
      <c r="L264" s="56" t="s">
        <v>362</v>
      </c>
      <c r="N264" s="1888"/>
      <c r="P264" s="43"/>
      <c r="Q264" s="43"/>
      <c r="R264" s="43"/>
      <c r="S264" s="60"/>
      <c r="T264" s="60"/>
      <c r="U264" s="43"/>
    </row>
    <row r="265" spans="1:23" ht="30" customHeight="1" x14ac:dyDescent="0.25">
      <c r="A265" s="195" t="s">
        <v>471</v>
      </c>
      <c r="B265" s="196"/>
      <c r="C265" s="196"/>
      <c r="D265" s="197"/>
      <c r="E265" s="63"/>
      <c r="F265" s="63"/>
      <c r="G265" s="167"/>
      <c r="H265" s="167"/>
      <c r="I265" s="469" t="s">
        <v>434</v>
      </c>
      <c r="J265" s="1824">
        <f>SUM(J256:J264)</f>
        <v>1764671.16</v>
      </c>
      <c r="K265" s="169">
        <v>2301318.1412414173</v>
      </c>
      <c r="L265" s="67" t="s">
        <v>335</v>
      </c>
      <c r="M265" s="1888"/>
      <c r="P265" s="43"/>
      <c r="Q265" s="43"/>
      <c r="R265" s="43"/>
      <c r="S265" s="60"/>
      <c r="T265" s="60"/>
      <c r="U265" s="43"/>
    </row>
    <row r="266" spans="1:23" ht="30" customHeight="1" x14ac:dyDescent="0.25">
      <c r="A266" s="201"/>
      <c r="B266" s="202"/>
      <c r="C266" s="202"/>
      <c r="D266" s="203"/>
      <c r="E266" s="268"/>
      <c r="F266" s="63"/>
      <c r="G266" s="63"/>
      <c r="H266" s="63"/>
      <c r="I266" s="88"/>
      <c r="J266" s="136" t="s">
        <v>472</v>
      </c>
      <c r="K266" s="267">
        <f>+K265/H254</f>
        <v>5.4793289077176599</v>
      </c>
      <c r="L266" s="67" t="s">
        <v>6</v>
      </c>
      <c r="P266" s="43"/>
      <c r="Q266" s="43"/>
      <c r="R266" s="43"/>
      <c r="S266" s="60"/>
      <c r="T266" s="60"/>
      <c r="U266" s="43"/>
    </row>
    <row r="267" spans="1:23" ht="30" customHeight="1" thickBot="1" x14ac:dyDescent="0.3">
      <c r="A267" s="204"/>
      <c r="B267" s="205"/>
      <c r="C267" s="205"/>
      <c r="D267" s="206"/>
      <c r="E267" s="63"/>
      <c r="F267" s="63"/>
      <c r="G267" s="63"/>
      <c r="H267" s="63"/>
      <c r="I267" s="136"/>
      <c r="J267" s="159" t="s">
        <v>358</v>
      </c>
      <c r="K267" s="270">
        <f>+K266</f>
        <v>5.4793289077176599</v>
      </c>
      <c r="L267" s="61" t="s">
        <v>6</v>
      </c>
      <c r="O267" s="58"/>
    </row>
    <row r="268" spans="1:23" ht="30" customHeight="1" thickBot="1" x14ac:dyDescent="0.3">
      <c r="A268" s="76"/>
      <c r="B268" s="77"/>
      <c r="C268" s="77"/>
      <c r="D268" s="77"/>
      <c r="E268" s="77"/>
      <c r="F268" s="77"/>
      <c r="G268" s="77"/>
      <c r="H268" s="77"/>
      <c r="I268" s="77"/>
      <c r="J268" s="77"/>
      <c r="K268" s="77"/>
      <c r="L268" s="78"/>
      <c r="M268" s="43"/>
    </row>
    <row r="269" spans="1:23" ht="30" customHeight="1" x14ac:dyDescent="0.25">
      <c r="A269" s="207" t="s">
        <v>288</v>
      </c>
      <c r="B269" s="208">
        <v>1251</v>
      </c>
      <c r="C269" s="209" t="s">
        <v>473</v>
      </c>
      <c r="D269" s="210"/>
      <c r="E269" s="36" t="s">
        <v>291</v>
      </c>
      <c r="F269" s="194" t="s">
        <v>7</v>
      </c>
      <c r="G269" s="255" t="s">
        <v>290</v>
      </c>
      <c r="H269" s="277">
        <v>1000</v>
      </c>
      <c r="I269" s="36" t="s">
        <v>292</v>
      </c>
      <c r="J269" s="38" t="s">
        <v>437</v>
      </c>
      <c r="K269" s="39"/>
      <c r="L269" s="40"/>
      <c r="P269" s="43"/>
      <c r="Q269" s="43"/>
      <c r="R269" s="43"/>
      <c r="S269" s="60"/>
      <c r="T269" s="60"/>
      <c r="U269" s="43"/>
    </row>
    <row r="270" spans="1:23" s="49" customFormat="1" ht="30" customHeight="1" x14ac:dyDescent="0.25">
      <c r="A270" s="44" t="s">
        <v>294</v>
      </c>
      <c r="B270" s="45" t="s">
        <v>295</v>
      </c>
      <c r="C270" s="45"/>
      <c r="D270" s="45"/>
      <c r="E270" s="44" t="s">
        <v>296</v>
      </c>
      <c r="F270" s="44" t="s">
        <v>2</v>
      </c>
      <c r="G270" s="44" t="s">
        <v>297</v>
      </c>
      <c r="H270" s="44" t="s">
        <v>298</v>
      </c>
      <c r="I270" s="44" t="s">
        <v>299</v>
      </c>
      <c r="J270" s="48" t="s">
        <v>300</v>
      </c>
      <c r="K270" s="48" t="s">
        <v>301</v>
      </c>
      <c r="L270" s="48"/>
      <c r="M270" s="502"/>
      <c r="N270" s="502"/>
      <c r="O270" s="27"/>
      <c r="P270" s="50"/>
      <c r="Q270" s="50"/>
      <c r="R270" s="50"/>
      <c r="S270" s="212"/>
      <c r="T270" s="212"/>
      <c r="U270" s="50"/>
    </row>
    <row r="271" spans="1:23" ht="30" customHeight="1" x14ac:dyDescent="0.25">
      <c r="A271" s="167" t="s">
        <v>474</v>
      </c>
      <c r="B271" s="167" t="s">
        <v>475</v>
      </c>
      <c r="C271" s="257"/>
      <c r="D271" s="257"/>
      <c r="E271" s="97">
        <v>1000</v>
      </c>
      <c r="F271" s="51" t="s">
        <v>7</v>
      </c>
      <c r="G271" s="1487">
        <v>189052.88</v>
      </c>
      <c r="H271" s="1487">
        <v>65635.509999999995</v>
      </c>
      <c r="I271" s="1487">
        <v>0</v>
      </c>
      <c r="J271" s="1981">
        <v>155969.4</v>
      </c>
      <c r="K271" s="1487">
        <v>254688.39</v>
      </c>
      <c r="L271" s="51" t="s">
        <v>7</v>
      </c>
      <c r="P271" s="43"/>
      <c r="Q271" s="43"/>
      <c r="R271" s="43"/>
      <c r="S271" s="60"/>
      <c r="T271" s="60"/>
      <c r="U271" s="43"/>
    </row>
    <row r="272" spans="1:23" ht="30" customHeight="1" x14ac:dyDescent="0.25">
      <c r="A272" s="167" t="s">
        <v>419</v>
      </c>
      <c r="B272" s="167" t="s">
        <v>420</v>
      </c>
      <c r="C272" s="257"/>
      <c r="D272" s="257"/>
      <c r="E272" s="97">
        <v>1000</v>
      </c>
      <c r="F272" s="51" t="s">
        <v>7</v>
      </c>
      <c r="G272" s="1487">
        <v>753.14</v>
      </c>
      <c r="H272" s="1487">
        <v>1217.3699999999999</v>
      </c>
      <c r="I272" s="1487">
        <v>0</v>
      </c>
      <c r="J272" s="1981">
        <v>1101.5</v>
      </c>
      <c r="K272" s="1487">
        <v>1970.51</v>
      </c>
      <c r="L272" s="51" t="s">
        <v>7</v>
      </c>
      <c r="P272" s="43"/>
      <c r="Q272" s="43"/>
      <c r="R272" s="43"/>
      <c r="S272" s="60"/>
      <c r="T272" s="60"/>
      <c r="U272" s="43"/>
    </row>
    <row r="273" spans="1:23" ht="30" customHeight="1" x14ac:dyDescent="0.25">
      <c r="A273" s="167" t="s">
        <v>421</v>
      </c>
      <c r="B273" s="258" t="s">
        <v>422</v>
      </c>
      <c r="C273" s="259"/>
      <c r="D273" s="260"/>
      <c r="E273" s="97">
        <v>3</v>
      </c>
      <c r="F273" s="51" t="s">
        <v>11</v>
      </c>
      <c r="G273" s="1487">
        <v>1203.48</v>
      </c>
      <c r="H273" s="1487">
        <v>255.57</v>
      </c>
      <c r="I273" s="1487">
        <v>0</v>
      </c>
      <c r="J273" s="1981">
        <v>911.37</v>
      </c>
      <c r="K273" s="1487">
        <v>1459.05</v>
      </c>
      <c r="L273" s="51" t="s">
        <v>11</v>
      </c>
      <c r="M273" s="12"/>
      <c r="N273" s="671"/>
      <c r="R273" s="43"/>
      <c r="S273" s="43"/>
      <c r="T273" s="43"/>
      <c r="U273" s="60"/>
      <c r="V273" s="60"/>
      <c r="W273" s="43"/>
    </row>
    <row r="274" spans="1:23" ht="30" customHeight="1" x14ac:dyDescent="0.25">
      <c r="A274" s="167" t="s">
        <v>476</v>
      </c>
      <c r="B274" s="167" t="s">
        <v>477</v>
      </c>
      <c r="C274" s="257"/>
      <c r="D274" s="257"/>
      <c r="E274" s="97">
        <v>1000</v>
      </c>
      <c r="F274" s="51" t="s">
        <v>7</v>
      </c>
      <c r="G274" s="1487">
        <v>13279.81</v>
      </c>
      <c r="H274" s="1487">
        <v>36445.99</v>
      </c>
      <c r="I274" s="1487">
        <v>0</v>
      </c>
      <c r="J274" s="1981">
        <v>26947.200000000001</v>
      </c>
      <c r="K274" s="1487">
        <v>49725.8</v>
      </c>
      <c r="L274" s="51" t="s">
        <v>7</v>
      </c>
      <c r="P274" s="43"/>
      <c r="Q274" s="43"/>
      <c r="R274" s="43"/>
      <c r="S274" s="60"/>
      <c r="T274" s="60"/>
      <c r="U274" s="43"/>
    </row>
    <row r="275" spans="1:23" ht="30" customHeight="1" x14ac:dyDescent="0.25">
      <c r="A275" s="167" t="s">
        <v>478</v>
      </c>
      <c r="B275" s="274" t="s">
        <v>479</v>
      </c>
      <c r="C275" s="275"/>
      <c r="D275" s="276"/>
      <c r="E275" s="97">
        <v>1000</v>
      </c>
      <c r="F275" s="51" t="s">
        <v>7</v>
      </c>
      <c r="G275" s="1487">
        <v>2505.33</v>
      </c>
      <c r="H275" s="1487">
        <v>605</v>
      </c>
      <c r="I275" s="1487">
        <v>27.21</v>
      </c>
      <c r="J275" s="1981">
        <v>1951.6</v>
      </c>
      <c r="K275" s="1487">
        <v>3137.54</v>
      </c>
      <c r="L275" s="51" t="s">
        <v>7</v>
      </c>
      <c r="N275" s="1888"/>
      <c r="P275" s="43"/>
      <c r="Q275" s="43"/>
      <c r="R275" s="43"/>
      <c r="S275" s="60"/>
      <c r="T275" s="60"/>
      <c r="U275" s="43"/>
    </row>
    <row r="276" spans="1:23" ht="30" customHeight="1" x14ac:dyDescent="0.25">
      <c r="A276" s="167" t="s">
        <v>480</v>
      </c>
      <c r="B276" s="258" t="s">
        <v>481</v>
      </c>
      <c r="C276" s="259"/>
      <c r="D276" s="260"/>
      <c r="E276" s="97">
        <v>3</v>
      </c>
      <c r="F276" s="51" t="s">
        <v>11</v>
      </c>
      <c r="G276" s="1487">
        <v>28766.06</v>
      </c>
      <c r="H276" s="1487">
        <v>6877.72</v>
      </c>
      <c r="I276" s="1487">
        <v>0</v>
      </c>
      <c r="J276" s="1981">
        <v>22170.29</v>
      </c>
      <c r="K276" s="1487">
        <v>35643.79</v>
      </c>
      <c r="L276" s="51" t="s">
        <v>11</v>
      </c>
      <c r="N276" s="1888"/>
      <c r="P276" s="43"/>
      <c r="Q276" s="43"/>
      <c r="R276" s="43"/>
      <c r="S276" s="60"/>
      <c r="T276" s="60"/>
      <c r="U276" s="43"/>
    </row>
    <row r="277" spans="1:23" ht="30" customHeight="1" x14ac:dyDescent="0.25">
      <c r="A277" s="167" t="s">
        <v>482</v>
      </c>
      <c r="B277" s="258" t="s">
        <v>483</v>
      </c>
      <c r="C277" s="259"/>
      <c r="D277" s="260"/>
      <c r="E277" s="97">
        <v>3</v>
      </c>
      <c r="F277" s="51" t="s">
        <v>11</v>
      </c>
      <c r="G277" s="1487">
        <v>11003.11</v>
      </c>
      <c r="H277" s="1487">
        <v>7312.59</v>
      </c>
      <c r="I277" s="1487">
        <v>55.01</v>
      </c>
      <c r="J277" s="1981">
        <v>10867.73</v>
      </c>
      <c r="K277" s="1487">
        <v>18370.7</v>
      </c>
      <c r="L277" s="51" t="s">
        <v>11</v>
      </c>
      <c r="N277" s="1888"/>
      <c r="P277" s="43"/>
      <c r="Q277" s="43"/>
      <c r="R277" s="43"/>
      <c r="S277" s="60"/>
      <c r="T277" s="60"/>
      <c r="U277" s="43"/>
    </row>
    <row r="278" spans="1:23" ht="30" customHeight="1" x14ac:dyDescent="0.25">
      <c r="A278" s="195" t="s">
        <v>3379</v>
      </c>
      <c r="B278" s="196"/>
      <c r="C278" s="196"/>
      <c r="D278" s="197"/>
      <c r="E278" s="63"/>
      <c r="F278" s="63"/>
      <c r="G278" s="63"/>
      <c r="H278" s="63"/>
      <c r="I278" s="1229" t="s">
        <v>434</v>
      </c>
      <c r="J278" s="1230"/>
      <c r="K278" s="1976">
        <v>364995.78356780123</v>
      </c>
      <c r="L278" s="147" t="s">
        <v>335</v>
      </c>
      <c r="M278" s="1888"/>
      <c r="P278" s="43"/>
      <c r="Q278" s="43"/>
      <c r="R278" s="43"/>
      <c r="S278" s="60"/>
      <c r="T278" s="60"/>
      <c r="U278" s="43"/>
    </row>
    <row r="279" spans="1:23" ht="30" customHeight="1" x14ac:dyDescent="0.25">
      <c r="A279" s="201"/>
      <c r="B279" s="202"/>
      <c r="C279" s="202"/>
      <c r="D279" s="203"/>
      <c r="E279" s="268"/>
      <c r="F279" s="63"/>
      <c r="G279" s="63"/>
      <c r="H279" s="63"/>
      <c r="I279" s="136"/>
      <c r="J279" s="159" t="s">
        <v>358</v>
      </c>
      <c r="K279" s="901">
        <v>364.99578356780125</v>
      </c>
      <c r="L279" s="61" t="s">
        <v>7</v>
      </c>
      <c r="P279" s="43"/>
      <c r="Q279" s="43"/>
      <c r="R279" s="43"/>
      <c r="S279" s="60"/>
      <c r="T279" s="60"/>
      <c r="U279" s="43"/>
    </row>
    <row r="280" spans="1:23" ht="30" customHeight="1" thickBot="1" x14ac:dyDescent="0.3">
      <c r="A280" s="201"/>
      <c r="B280" s="202"/>
      <c r="C280" s="202"/>
      <c r="D280" s="203"/>
      <c r="E280" s="70"/>
      <c r="F280" s="70"/>
      <c r="G280" s="70"/>
      <c r="H280" s="70"/>
      <c r="I280" s="1984"/>
      <c r="J280" s="1684"/>
      <c r="K280" s="1684"/>
      <c r="L280" s="1684"/>
      <c r="O280" s="58"/>
    </row>
    <row r="281" spans="1:23" ht="30" customHeight="1" thickBot="1" x14ac:dyDescent="0.3">
      <c r="A281" s="76"/>
      <c r="B281" s="77"/>
      <c r="C281" s="77"/>
      <c r="D281" s="77"/>
      <c r="E281" s="77"/>
      <c r="F281" s="77"/>
      <c r="G281" s="77"/>
      <c r="H281" s="77"/>
      <c r="I281" s="77"/>
      <c r="J281" s="77"/>
      <c r="K281" s="77"/>
      <c r="L281" s="78"/>
      <c r="M281" s="43"/>
    </row>
    <row r="282" spans="1:23" ht="30" customHeight="1" x14ac:dyDescent="0.25">
      <c r="A282" s="207" t="s">
        <v>288</v>
      </c>
      <c r="B282" s="208">
        <v>1261</v>
      </c>
      <c r="C282" s="209" t="s">
        <v>484</v>
      </c>
      <c r="D282" s="210"/>
      <c r="E282" s="36" t="s">
        <v>291</v>
      </c>
      <c r="F282" s="194" t="s">
        <v>5</v>
      </c>
      <c r="G282" s="255" t="s">
        <v>290</v>
      </c>
      <c r="H282" s="278">
        <v>4</v>
      </c>
      <c r="I282" s="36" t="s">
        <v>292</v>
      </c>
      <c r="J282" s="38" t="s">
        <v>437</v>
      </c>
      <c r="K282" s="39"/>
      <c r="L282" s="40"/>
      <c r="P282" s="43"/>
      <c r="Q282" s="43"/>
      <c r="R282" s="43"/>
      <c r="S282" s="60"/>
      <c r="T282" s="60"/>
      <c r="U282" s="43"/>
    </row>
    <row r="283" spans="1:23" s="49" customFormat="1" ht="30" customHeight="1" x14ac:dyDescent="0.25">
      <c r="A283" s="44" t="s">
        <v>294</v>
      </c>
      <c r="B283" s="45" t="s">
        <v>295</v>
      </c>
      <c r="C283" s="45"/>
      <c r="D283" s="45"/>
      <c r="E283" s="44" t="s">
        <v>296</v>
      </c>
      <c r="F283" s="44" t="s">
        <v>2</v>
      </c>
      <c r="G283" s="44" t="s">
        <v>297</v>
      </c>
      <c r="H283" s="44" t="s">
        <v>298</v>
      </c>
      <c r="I283" s="44" t="s">
        <v>299</v>
      </c>
      <c r="J283" s="211" t="s">
        <v>300</v>
      </c>
      <c r="K283" s="48" t="s">
        <v>301</v>
      </c>
      <c r="L283" s="48"/>
      <c r="M283" s="502"/>
      <c r="N283" s="502"/>
      <c r="O283" s="27"/>
      <c r="P283" s="50"/>
      <c r="Q283" s="50"/>
      <c r="R283" s="50"/>
      <c r="S283" s="212"/>
      <c r="T283" s="212"/>
      <c r="U283" s="50"/>
    </row>
    <row r="284" spans="1:23" ht="30" customHeight="1" x14ac:dyDescent="0.25">
      <c r="A284" s="167" t="s">
        <v>485</v>
      </c>
      <c r="B284" s="258" t="s">
        <v>486</v>
      </c>
      <c r="C284" s="259"/>
      <c r="D284" s="260"/>
      <c r="E284" s="97">
        <v>1600</v>
      </c>
      <c r="F284" s="51" t="s">
        <v>9</v>
      </c>
      <c r="G284" s="1487">
        <v>34073.57</v>
      </c>
      <c r="H284" s="1487">
        <v>14191.84</v>
      </c>
      <c r="I284" s="1487">
        <v>4002.66</v>
      </c>
      <c r="J284" s="1981">
        <v>32413.9</v>
      </c>
      <c r="K284" s="1487">
        <v>52268.07</v>
      </c>
      <c r="L284" s="51" t="s">
        <v>9</v>
      </c>
      <c r="P284" s="43"/>
      <c r="Q284" s="43"/>
      <c r="R284" s="43"/>
      <c r="S284" s="60"/>
      <c r="T284" s="60"/>
      <c r="U284" s="43"/>
    </row>
    <row r="285" spans="1:23" ht="30" customHeight="1" x14ac:dyDescent="0.25">
      <c r="A285" s="167" t="s">
        <v>487</v>
      </c>
      <c r="B285" s="167" t="s">
        <v>488</v>
      </c>
      <c r="C285" s="257"/>
      <c r="D285" s="257"/>
      <c r="E285" s="97">
        <v>4</v>
      </c>
      <c r="F285" s="51" t="s">
        <v>11</v>
      </c>
      <c r="G285" s="1487">
        <v>80673.13</v>
      </c>
      <c r="H285" s="1487">
        <v>7299.27</v>
      </c>
      <c r="I285" s="1487">
        <v>519.03</v>
      </c>
      <c r="J285" s="1981">
        <v>57398.34</v>
      </c>
      <c r="K285" s="1487">
        <v>88491.43</v>
      </c>
      <c r="L285" s="51" t="s">
        <v>11</v>
      </c>
      <c r="P285" s="43"/>
      <c r="Q285" s="43"/>
      <c r="R285" s="43"/>
      <c r="S285" s="60"/>
      <c r="T285" s="60"/>
      <c r="U285" s="43"/>
    </row>
    <row r="286" spans="1:23" ht="30" customHeight="1" x14ac:dyDescent="0.25">
      <c r="A286" s="167" t="s">
        <v>489</v>
      </c>
      <c r="B286" s="279" t="s">
        <v>490</v>
      </c>
      <c r="C286" s="280"/>
      <c r="D286" s="281"/>
      <c r="E286" s="97">
        <v>4</v>
      </c>
      <c r="F286" s="51" t="s">
        <v>11</v>
      </c>
      <c r="G286" s="1487">
        <v>24861.439999999999</v>
      </c>
      <c r="H286" s="1487">
        <v>2916.8</v>
      </c>
      <c r="I286" s="1487">
        <v>0</v>
      </c>
      <c r="J286" s="1981">
        <v>17923.59</v>
      </c>
      <c r="K286" s="1487">
        <v>27778.240000000002</v>
      </c>
      <c r="L286" s="51" t="s">
        <v>11</v>
      </c>
      <c r="M286" s="12"/>
      <c r="N286" s="671"/>
      <c r="R286" s="43"/>
      <c r="S286" s="43"/>
      <c r="T286" s="43"/>
      <c r="U286" s="60"/>
      <c r="V286" s="60"/>
      <c r="W286" s="43"/>
    </row>
    <row r="287" spans="1:23" ht="30" customHeight="1" x14ac:dyDescent="0.25">
      <c r="A287" s="167" t="s">
        <v>491</v>
      </c>
      <c r="B287" s="167" t="s">
        <v>492</v>
      </c>
      <c r="C287" s="257"/>
      <c r="D287" s="257"/>
      <c r="E287" s="97">
        <v>4</v>
      </c>
      <c r="F287" s="51" t="s">
        <v>11</v>
      </c>
      <c r="G287" s="1487">
        <v>49722.879999999997</v>
      </c>
      <c r="H287" s="1487">
        <v>10654.59</v>
      </c>
      <c r="I287" s="1487">
        <v>2595.13</v>
      </c>
      <c r="J287" s="1981">
        <v>40023.25</v>
      </c>
      <c r="K287" s="1487">
        <v>62972.6</v>
      </c>
      <c r="L287" s="51" t="s">
        <v>11</v>
      </c>
      <c r="P287" s="43"/>
      <c r="Q287" s="43"/>
      <c r="R287" s="43"/>
      <c r="S287" s="60"/>
      <c r="T287" s="60"/>
      <c r="U287" s="43"/>
    </row>
    <row r="288" spans="1:23" ht="30" customHeight="1" x14ac:dyDescent="0.25">
      <c r="A288" s="167" t="s">
        <v>493</v>
      </c>
      <c r="B288" s="167" t="s">
        <v>494</v>
      </c>
      <c r="C288" s="257"/>
      <c r="D288" s="257"/>
      <c r="E288" s="97">
        <v>4</v>
      </c>
      <c r="F288" s="51" t="s">
        <v>11</v>
      </c>
      <c r="G288" s="1487">
        <v>45852.23</v>
      </c>
      <c r="H288" s="1487">
        <v>11187.32</v>
      </c>
      <c r="I288" s="1487">
        <v>2724.89</v>
      </c>
      <c r="J288" s="1981">
        <v>37822.19</v>
      </c>
      <c r="K288" s="1487">
        <v>59764.44</v>
      </c>
      <c r="L288" s="51" t="s">
        <v>11</v>
      </c>
      <c r="N288" s="1888"/>
      <c r="P288" s="43"/>
      <c r="Q288" s="43"/>
      <c r="R288" s="43"/>
      <c r="S288" s="60"/>
      <c r="T288" s="60"/>
      <c r="U288" s="43"/>
    </row>
    <row r="289" spans="1:23" ht="30" customHeight="1" x14ac:dyDescent="0.25">
      <c r="A289" s="167" t="s">
        <v>495</v>
      </c>
      <c r="B289" s="279" t="s">
        <v>496</v>
      </c>
      <c r="C289" s="280"/>
      <c r="D289" s="281"/>
      <c r="E289" s="97">
        <v>4</v>
      </c>
      <c r="F289" s="51" t="s">
        <v>11</v>
      </c>
      <c r="G289" s="1487">
        <v>1202.8800000000001</v>
      </c>
      <c r="H289" s="1487">
        <v>1212.54</v>
      </c>
      <c r="I289" s="1487">
        <v>0</v>
      </c>
      <c r="J289" s="1981">
        <v>1414.03</v>
      </c>
      <c r="K289" s="1487">
        <v>2415.41</v>
      </c>
      <c r="L289" s="51" t="s">
        <v>11</v>
      </c>
      <c r="N289" s="1888"/>
      <c r="P289" s="43"/>
      <c r="Q289" s="43"/>
      <c r="R289" s="43"/>
      <c r="S289" s="60"/>
      <c r="T289" s="60"/>
      <c r="U289" s="43"/>
    </row>
    <row r="290" spans="1:23" ht="30" customHeight="1" x14ac:dyDescent="0.25">
      <c r="A290" s="167" t="s">
        <v>497</v>
      </c>
      <c r="B290" s="279" t="s">
        <v>498</v>
      </c>
      <c r="C290" s="280"/>
      <c r="D290" s="281"/>
      <c r="E290" s="97">
        <v>4</v>
      </c>
      <c r="F290" s="51" t="s">
        <v>11</v>
      </c>
      <c r="G290" s="1487">
        <v>62245.9</v>
      </c>
      <c r="H290" s="1487">
        <v>17742.38</v>
      </c>
      <c r="I290" s="1487">
        <v>855.02</v>
      </c>
      <c r="J290" s="1981">
        <v>50768.85</v>
      </c>
      <c r="K290" s="1487">
        <v>80843.3</v>
      </c>
      <c r="L290" s="51" t="s">
        <v>11</v>
      </c>
      <c r="N290" s="1888"/>
      <c r="P290" s="43"/>
      <c r="Q290" s="43"/>
      <c r="R290" s="43"/>
      <c r="S290" s="60"/>
      <c r="T290" s="60"/>
      <c r="U290" s="43"/>
    </row>
    <row r="291" spans="1:23" ht="30" customHeight="1" x14ac:dyDescent="0.25">
      <c r="A291" s="195" t="s">
        <v>499</v>
      </c>
      <c r="B291" s="196"/>
      <c r="C291" s="196"/>
      <c r="D291" s="197"/>
      <c r="E291" s="63"/>
      <c r="F291" s="63"/>
      <c r="G291" s="63"/>
      <c r="H291" s="63"/>
      <c r="I291" s="265" t="s">
        <v>434</v>
      </c>
      <c r="J291" s="266"/>
      <c r="K291" s="1982">
        <v>374533.49203489907</v>
      </c>
      <c r="L291" s="147" t="s">
        <v>335</v>
      </c>
      <c r="M291" s="1888"/>
      <c r="P291" s="43"/>
      <c r="Q291" s="43"/>
      <c r="R291" s="43"/>
      <c r="S291" s="60"/>
      <c r="T291" s="60"/>
      <c r="U291" s="43"/>
    </row>
    <row r="292" spans="1:23" ht="30" customHeight="1" x14ac:dyDescent="0.25">
      <c r="A292" s="201"/>
      <c r="B292" s="202"/>
      <c r="C292" s="202"/>
      <c r="D292" s="203"/>
      <c r="E292" s="268"/>
      <c r="F292" s="63"/>
      <c r="G292" s="63"/>
      <c r="H292" s="63"/>
      <c r="I292" s="136"/>
      <c r="J292" s="136" t="s">
        <v>451</v>
      </c>
      <c r="K292" s="1982">
        <v>93633.373008724768</v>
      </c>
      <c r="L292" s="147" t="s">
        <v>5</v>
      </c>
      <c r="P292" s="43"/>
      <c r="Q292" s="43"/>
      <c r="R292" s="43"/>
      <c r="S292" s="60"/>
      <c r="T292" s="60"/>
      <c r="U292" s="43"/>
    </row>
    <row r="293" spans="1:23" ht="30" customHeight="1" thickBot="1" x14ac:dyDescent="0.3">
      <c r="A293" s="204"/>
      <c r="B293" s="205"/>
      <c r="C293" s="205"/>
      <c r="D293" s="206"/>
      <c r="E293" s="63"/>
      <c r="F293" s="63"/>
      <c r="G293" s="63"/>
      <c r="H293" s="63"/>
      <c r="I293" s="136"/>
      <c r="J293" s="159" t="s">
        <v>358</v>
      </c>
      <c r="K293" s="1983">
        <v>93633.373008724768</v>
      </c>
      <c r="L293" s="61" t="s">
        <v>5</v>
      </c>
      <c r="O293" s="58"/>
    </row>
    <row r="294" spans="1:23" ht="30" customHeight="1" thickBot="1" x14ac:dyDescent="0.3">
      <c r="A294" s="76"/>
      <c r="B294" s="77"/>
      <c r="C294" s="77"/>
      <c r="D294" s="77"/>
      <c r="E294" s="77"/>
      <c r="F294" s="77"/>
      <c r="G294" s="77"/>
      <c r="H294" s="77"/>
      <c r="I294" s="77"/>
      <c r="J294" s="77"/>
      <c r="K294" s="77"/>
      <c r="L294" s="78"/>
      <c r="M294" s="43"/>
    </row>
    <row r="295" spans="1:23" ht="30" customHeight="1" x14ac:dyDescent="0.25">
      <c r="A295" s="207" t="s">
        <v>288</v>
      </c>
      <c r="B295" s="208">
        <v>1262</v>
      </c>
      <c r="C295" s="209" t="s">
        <v>500</v>
      </c>
      <c r="D295" s="210"/>
      <c r="E295" s="36" t="s">
        <v>291</v>
      </c>
      <c r="F295" s="37" t="s">
        <v>8</v>
      </c>
      <c r="G295" s="34" t="s">
        <v>290</v>
      </c>
      <c r="H295" s="277">
        <v>2400</v>
      </c>
      <c r="I295" s="36" t="s">
        <v>292</v>
      </c>
      <c r="J295" s="38" t="s">
        <v>437</v>
      </c>
      <c r="K295" s="39"/>
      <c r="L295" s="40"/>
      <c r="P295" s="43"/>
      <c r="Q295" s="43"/>
      <c r="R295" s="43"/>
      <c r="S295" s="60"/>
      <c r="T295" s="60"/>
      <c r="U295" s="43"/>
    </row>
    <row r="296" spans="1:23" s="49" customFormat="1" ht="30" customHeight="1" x14ac:dyDescent="0.25">
      <c r="A296" s="44" t="s">
        <v>294</v>
      </c>
      <c r="B296" s="45" t="s">
        <v>295</v>
      </c>
      <c r="C296" s="45"/>
      <c r="D296" s="45"/>
      <c r="E296" s="44" t="s">
        <v>296</v>
      </c>
      <c r="F296" s="44" t="s">
        <v>2</v>
      </c>
      <c r="G296" s="44" t="s">
        <v>297</v>
      </c>
      <c r="H296" s="44" t="s">
        <v>298</v>
      </c>
      <c r="I296" s="44" t="s">
        <v>299</v>
      </c>
      <c r="J296" s="211" t="s">
        <v>300</v>
      </c>
      <c r="K296" s="48" t="s">
        <v>301</v>
      </c>
      <c r="L296" s="48"/>
      <c r="M296" s="502"/>
      <c r="N296" s="502"/>
      <c r="O296" s="27"/>
      <c r="P296" s="50"/>
      <c r="Q296" s="50"/>
      <c r="R296" s="50"/>
      <c r="S296" s="212"/>
      <c r="T296" s="212"/>
      <c r="U296" s="50"/>
    </row>
    <row r="297" spans="1:23" ht="30" customHeight="1" x14ac:dyDescent="0.25">
      <c r="A297" t="s">
        <v>501</v>
      </c>
      <c r="B297" s="258" t="s">
        <v>502</v>
      </c>
      <c r="C297" s="259"/>
      <c r="D297" s="260"/>
      <c r="E297" s="97">
        <v>2</v>
      </c>
      <c r="F297" s="51" t="s">
        <v>11</v>
      </c>
      <c r="G297" s="98">
        <v>124729.08</v>
      </c>
      <c r="H297" s="98">
        <v>12203.72</v>
      </c>
      <c r="I297" s="98">
        <v>1455.91</v>
      </c>
      <c r="J297" s="98">
        <v>88933.96</v>
      </c>
      <c r="K297" s="98">
        <v>138388.72</v>
      </c>
      <c r="L297" s="51" t="s">
        <v>11</v>
      </c>
      <c r="P297" s="43"/>
      <c r="Q297" s="43"/>
      <c r="R297" s="43"/>
      <c r="S297" s="60"/>
      <c r="T297" s="60"/>
      <c r="U297" s="43"/>
    </row>
    <row r="298" spans="1:23" ht="30" customHeight="1" x14ac:dyDescent="0.25">
      <c r="A298" t="s">
        <v>503</v>
      </c>
      <c r="B298" s="258" t="s">
        <v>504</v>
      </c>
      <c r="C298" s="259"/>
      <c r="D298" s="260"/>
      <c r="E298" s="97">
        <v>4</v>
      </c>
      <c r="F298" s="51" t="s">
        <v>11</v>
      </c>
      <c r="G298" s="98">
        <v>1982247.06</v>
      </c>
      <c r="H298" s="98">
        <v>50813.99</v>
      </c>
      <c r="I298" s="98">
        <v>0</v>
      </c>
      <c r="J298" s="98">
        <v>1325728.79</v>
      </c>
      <c r="K298" s="98">
        <v>2033061.05</v>
      </c>
      <c r="L298" s="51" t="s">
        <v>11</v>
      </c>
      <c r="P298" s="43"/>
      <c r="Q298" s="43"/>
      <c r="R298" s="43"/>
      <c r="S298" s="60"/>
      <c r="T298" s="60"/>
      <c r="U298" s="43"/>
    </row>
    <row r="299" spans="1:23" ht="30" customHeight="1" x14ac:dyDescent="0.25">
      <c r="A299" t="s">
        <v>505</v>
      </c>
      <c r="B299" s="258" t="s">
        <v>506</v>
      </c>
      <c r="C299" s="259"/>
      <c r="D299" s="260"/>
      <c r="E299" s="97">
        <v>1</v>
      </c>
      <c r="F299" s="51" t="s">
        <v>11</v>
      </c>
      <c r="G299" s="98">
        <v>304961.09000000003</v>
      </c>
      <c r="H299" s="98">
        <v>85613.09</v>
      </c>
      <c r="I299" s="98">
        <v>15845.7</v>
      </c>
      <c r="J299" s="98">
        <v>253740.65</v>
      </c>
      <c r="K299" s="98">
        <v>406419.87</v>
      </c>
      <c r="L299" s="51" t="s">
        <v>11</v>
      </c>
      <c r="M299" s="12"/>
      <c r="N299" s="671"/>
      <c r="R299" s="43"/>
      <c r="S299" s="43"/>
      <c r="T299" s="43"/>
      <c r="U299" s="60"/>
      <c r="V299" s="60"/>
      <c r="W299" s="43"/>
    </row>
    <row r="300" spans="1:23" ht="30" customHeight="1" x14ac:dyDescent="0.25">
      <c r="A300" t="s">
        <v>507</v>
      </c>
      <c r="B300" s="258" t="s">
        <v>508</v>
      </c>
      <c r="C300" s="259"/>
      <c r="D300" s="260"/>
      <c r="E300" s="97">
        <v>1</v>
      </c>
      <c r="F300" s="51" t="s">
        <v>11</v>
      </c>
      <c r="G300" s="98">
        <v>117.41</v>
      </c>
      <c r="H300" s="98">
        <v>108.66</v>
      </c>
      <c r="I300" s="98">
        <v>0</v>
      </c>
      <c r="J300" s="98">
        <v>132.02000000000001</v>
      </c>
      <c r="K300" s="98">
        <v>226.07</v>
      </c>
      <c r="L300" s="51" t="s">
        <v>11</v>
      </c>
      <c r="P300" s="43"/>
      <c r="Q300" s="43"/>
      <c r="R300" s="43"/>
      <c r="S300" s="60"/>
      <c r="T300" s="60"/>
      <c r="U300" s="43"/>
    </row>
    <row r="301" spans="1:23" ht="30" customHeight="1" x14ac:dyDescent="0.25">
      <c r="A301" t="s">
        <v>509</v>
      </c>
      <c r="B301" s="258" t="s">
        <v>510</v>
      </c>
      <c r="C301" s="259"/>
      <c r="D301" s="260"/>
      <c r="E301" s="97">
        <v>4</v>
      </c>
      <c r="F301" s="51" t="s">
        <v>11</v>
      </c>
      <c r="G301" s="98">
        <v>97130.11</v>
      </c>
      <c r="H301" s="98">
        <v>6343.92</v>
      </c>
      <c r="I301" s="98">
        <v>0</v>
      </c>
      <c r="J301" s="98">
        <v>66912.13</v>
      </c>
      <c r="K301" s="98">
        <v>103474.03</v>
      </c>
      <c r="L301" s="51" t="s">
        <v>11</v>
      </c>
      <c r="N301" s="1888"/>
      <c r="P301" s="43"/>
      <c r="Q301" s="43"/>
      <c r="R301" s="43"/>
      <c r="S301" s="60"/>
      <c r="T301" s="60"/>
      <c r="U301" s="43"/>
    </row>
    <row r="302" spans="1:23" ht="30" customHeight="1" x14ac:dyDescent="0.25">
      <c r="A302" t="s">
        <v>511</v>
      </c>
      <c r="B302" s="258" t="s">
        <v>512</v>
      </c>
      <c r="C302" s="259"/>
      <c r="D302" s="260"/>
      <c r="E302" s="97">
        <v>1</v>
      </c>
      <c r="F302" s="51" t="s">
        <v>11</v>
      </c>
      <c r="G302" s="98">
        <v>57444.6</v>
      </c>
      <c r="H302" s="98">
        <v>0</v>
      </c>
      <c r="I302" s="98">
        <v>0</v>
      </c>
      <c r="J302" s="98">
        <v>37673.4</v>
      </c>
      <c r="K302" s="98">
        <v>57444.6</v>
      </c>
      <c r="L302" s="51" t="s">
        <v>11</v>
      </c>
      <c r="N302" s="1888"/>
      <c r="P302" s="43"/>
      <c r="Q302" s="43"/>
      <c r="R302" s="43"/>
      <c r="S302" s="60"/>
      <c r="T302" s="60"/>
      <c r="U302" s="43"/>
    </row>
    <row r="303" spans="1:23" ht="30" customHeight="1" x14ac:dyDescent="0.25">
      <c r="A303" s="195" t="s">
        <v>513</v>
      </c>
      <c r="B303" s="196"/>
      <c r="C303" s="196"/>
      <c r="D303" s="197"/>
      <c r="E303" s="63"/>
      <c r="F303" s="63"/>
      <c r="G303" s="63"/>
      <c r="H303" s="63"/>
      <c r="I303" s="265" t="s">
        <v>434</v>
      </c>
      <c r="J303" s="266"/>
      <c r="K303" s="267">
        <f>SUM(K297:K302)</f>
        <v>2739014.34</v>
      </c>
      <c r="L303" s="147" t="s">
        <v>335</v>
      </c>
      <c r="M303" s="1888"/>
      <c r="P303" s="43"/>
      <c r="Q303" s="43"/>
      <c r="R303" s="43"/>
      <c r="S303" s="60"/>
      <c r="T303" s="60"/>
      <c r="U303" s="43"/>
    </row>
    <row r="304" spans="1:23" ht="30" customHeight="1" x14ac:dyDescent="0.25">
      <c r="A304" s="201"/>
      <c r="B304" s="202"/>
      <c r="C304" s="202"/>
      <c r="D304" s="203"/>
      <c r="E304" s="268"/>
      <c r="F304" s="63"/>
      <c r="G304" s="63"/>
      <c r="H304" s="63"/>
      <c r="I304" s="136"/>
      <c r="J304" s="136" t="s">
        <v>514</v>
      </c>
      <c r="K304" s="267">
        <f>+K303/H295</f>
        <v>1141.255975</v>
      </c>
      <c r="L304" s="147" t="s">
        <v>8</v>
      </c>
      <c r="P304" s="43"/>
      <c r="Q304" s="43"/>
      <c r="R304" s="43"/>
      <c r="S304" s="60"/>
      <c r="T304" s="60"/>
      <c r="U304" s="43"/>
    </row>
    <row r="305" spans="1:21" ht="30" customHeight="1" thickBot="1" x14ac:dyDescent="0.3">
      <c r="A305" s="204"/>
      <c r="B305" s="205"/>
      <c r="C305" s="205"/>
      <c r="D305" s="206"/>
      <c r="E305" s="63"/>
      <c r="F305" s="63"/>
      <c r="G305" s="63"/>
      <c r="H305" s="63"/>
      <c r="I305" s="136"/>
      <c r="J305" s="159" t="s">
        <v>358</v>
      </c>
      <c r="K305" s="270">
        <f>+K304</f>
        <v>1141.255975</v>
      </c>
      <c r="L305" s="61" t="s">
        <v>8</v>
      </c>
      <c r="O305" s="58"/>
    </row>
    <row r="306" spans="1:21" ht="30" customHeight="1" thickBot="1" x14ac:dyDescent="0.3">
      <c r="A306" s="76"/>
      <c r="B306" s="77"/>
      <c r="C306" s="77"/>
      <c r="D306" s="77"/>
      <c r="E306" s="77"/>
      <c r="F306" s="77"/>
      <c r="G306" s="77"/>
      <c r="H306" s="77"/>
      <c r="I306" s="77"/>
      <c r="J306" s="77"/>
      <c r="K306" s="77"/>
      <c r="L306" s="78"/>
      <c r="M306" s="43"/>
    </row>
    <row r="307" spans="1:21" ht="30" customHeight="1" x14ac:dyDescent="0.25">
      <c r="A307" s="207" t="s">
        <v>288</v>
      </c>
      <c r="B307" s="208">
        <v>1311</v>
      </c>
      <c r="C307" s="282" t="s">
        <v>515</v>
      </c>
      <c r="D307" s="283"/>
      <c r="E307" s="177" t="s">
        <v>291</v>
      </c>
      <c r="F307" s="178" t="s">
        <v>9</v>
      </c>
      <c r="G307" s="123" t="s">
        <v>375</v>
      </c>
      <c r="H307" s="284">
        <v>5309</v>
      </c>
      <c r="I307" s="177" t="s">
        <v>292</v>
      </c>
      <c r="J307" s="38" t="s">
        <v>516</v>
      </c>
      <c r="K307" s="39"/>
      <c r="L307" s="40"/>
      <c r="P307" s="43"/>
      <c r="Q307" s="43"/>
      <c r="R307" s="43"/>
      <c r="S307" s="60"/>
      <c r="T307" s="60"/>
      <c r="U307" s="43"/>
    </row>
    <row r="308" spans="1:21" s="49" customFormat="1" ht="30" customHeight="1" x14ac:dyDescent="0.25">
      <c r="A308" s="181" t="s">
        <v>517</v>
      </c>
      <c r="B308" s="180" t="s">
        <v>295</v>
      </c>
      <c r="C308" s="180"/>
      <c r="D308" s="180"/>
      <c r="E308" s="182" t="s">
        <v>518</v>
      </c>
      <c r="F308" s="285" t="s">
        <v>519</v>
      </c>
      <c r="G308" s="181"/>
      <c r="H308" s="181"/>
      <c r="I308" s="286" t="s">
        <v>520</v>
      </c>
      <c r="J308" s="287"/>
      <c r="K308" s="288" t="s">
        <v>521</v>
      </c>
      <c r="L308" s="289"/>
      <c r="M308" s="502"/>
      <c r="N308" s="502"/>
      <c r="O308" s="27"/>
      <c r="P308" s="50"/>
      <c r="Q308" s="50"/>
      <c r="R308" s="50"/>
      <c r="S308" s="212"/>
      <c r="T308" s="212"/>
      <c r="U308" s="50"/>
    </row>
    <row r="309" spans="1:21" s="41" customFormat="1" ht="30" customHeight="1" x14ac:dyDescent="0.25">
      <c r="A309" s="290" t="s">
        <v>522</v>
      </c>
      <c r="B309" s="214" t="s">
        <v>523</v>
      </c>
      <c r="C309" s="214"/>
      <c r="D309" s="214"/>
      <c r="E309" s="291">
        <v>34000</v>
      </c>
      <c r="F309" s="292">
        <v>360</v>
      </c>
      <c r="G309" s="293"/>
      <c r="H309" s="294"/>
      <c r="I309" s="295" t="s">
        <v>524</v>
      </c>
      <c r="J309" s="296"/>
      <c r="K309" s="292">
        <f>+F309</f>
        <v>360</v>
      </c>
      <c r="L309" s="290" t="s">
        <v>9</v>
      </c>
      <c r="M309" s="341"/>
      <c r="N309" s="342"/>
      <c r="O309" s="42"/>
    </row>
    <row r="310" spans="1:21" ht="30" customHeight="1" thickBot="1" x14ac:dyDescent="0.3">
      <c r="A310" s="20"/>
      <c r="B310" s="191"/>
      <c r="C310" s="191"/>
      <c r="D310" s="191"/>
      <c r="E310" s="297"/>
      <c r="F310" s="298"/>
      <c r="G310" s="298"/>
      <c r="H310" s="299"/>
      <c r="I310" s="18"/>
      <c r="J310" s="300" t="s">
        <v>358</v>
      </c>
      <c r="K310" s="301">
        <f>+K309</f>
        <v>360</v>
      </c>
      <c r="L310" s="20" t="s">
        <v>9</v>
      </c>
    </row>
    <row r="311" spans="1:21" ht="30" customHeight="1" thickBot="1" x14ac:dyDescent="0.3">
      <c r="A311" s="76"/>
      <c r="B311" s="77"/>
      <c r="C311" s="77"/>
      <c r="D311" s="77"/>
      <c r="E311" s="77"/>
      <c r="F311" s="77"/>
      <c r="G311" s="77"/>
      <c r="H311" s="77"/>
      <c r="I311" s="77"/>
      <c r="J311" s="77"/>
      <c r="K311" s="77"/>
      <c r="L311" s="78"/>
      <c r="M311" s="43"/>
    </row>
    <row r="312" spans="1:21" ht="30" customHeight="1" x14ac:dyDescent="0.25">
      <c r="A312" s="207" t="s">
        <v>288</v>
      </c>
      <c r="B312" s="208">
        <v>1312</v>
      </c>
      <c r="C312" s="282" t="s">
        <v>525</v>
      </c>
      <c r="D312" s="283"/>
      <c r="E312" s="177" t="s">
        <v>291</v>
      </c>
      <c r="F312" s="178" t="s">
        <v>9</v>
      </c>
      <c r="G312" s="123" t="s">
        <v>375</v>
      </c>
      <c r="H312" s="302">
        <v>3601</v>
      </c>
      <c r="I312" s="177" t="s">
        <v>292</v>
      </c>
      <c r="J312" s="38" t="s">
        <v>526</v>
      </c>
      <c r="K312" s="39"/>
      <c r="L312" s="40"/>
      <c r="P312" s="43"/>
      <c r="Q312" s="43"/>
      <c r="R312" s="43"/>
      <c r="S312" s="60"/>
      <c r="T312" s="60"/>
      <c r="U312" s="43"/>
    </row>
    <row r="313" spans="1:21" s="49" customFormat="1" ht="30" customHeight="1" x14ac:dyDescent="0.25">
      <c r="A313" s="181" t="s">
        <v>517</v>
      </c>
      <c r="B313" s="180" t="s">
        <v>295</v>
      </c>
      <c r="C313" s="180"/>
      <c r="D313" s="180"/>
      <c r="E313" s="182"/>
      <c r="F313" s="285" t="s">
        <v>519</v>
      </c>
      <c r="G313" s="181"/>
      <c r="H313" s="181"/>
      <c r="I313" s="286" t="s">
        <v>520</v>
      </c>
      <c r="J313" s="287"/>
      <c r="K313" s="288" t="s">
        <v>521</v>
      </c>
      <c r="L313" s="289"/>
      <c r="M313" s="502"/>
      <c r="N313" s="502"/>
      <c r="O313" s="27"/>
      <c r="P313" s="50"/>
      <c r="Q313" s="50"/>
      <c r="R313" s="50"/>
      <c r="S313" s="212"/>
      <c r="T313" s="212"/>
      <c r="U313" s="50"/>
    </row>
    <row r="314" spans="1:21" s="41" customFormat="1" ht="30" customHeight="1" x14ac:dyDescent="0.25">
      <c r="A314" s="290">
        <v>13181</v>
      </c>
      <c r="B314" s="214" t="s">
        <v>527</v>
      </c>
      <c r="C314" s="214"/>
      <c r="D314" s="214"/>
      <c r="E314" s="291">
        <v>26000</v>
      </c>
      <c r="F314" s="303">
        <v>377</v>
      </c>
      <c r="G314" s="293"/>
      <c r="H314" s="294"/>
      <c r="I314" s="295">
        <f>+'MILCON Inflation Table'!F15</f>
        <v>0.9813542688910698</v>
      </c>
      <c r="J314" s="296"/>
      <c r="K314" s="304">
        <f>+F314*I314</f>
        <v>369.97055937193329</v>
      </c>
      <c r="L314" s="290" t="s">
        <v>9</v>
      </c>
      <c r="M314" s="380"/>
      <c r="N314" s="1273"/>
      <c r="O314" s="42"/>
    </row>
    <row r="315" spans="1:21" ht="30" customHeight="1" thickBot="1" x14ac:dyDescent="0.3">
      <c r="A315" s="20"/>
      <c r="B315" s="191"/>
      <c r="C315" s="191"/>
      <c r="D315" s="191"/>
      <c r="E315" s="297"/>
      <c r="F315" s="298"/>
      <c r="G315" s="298"/>
      <c r="H315" s="299"/>
      <c r="I315" s="18"/>
      <c r="J315" s="300" t="s">
        <v>358</v>
      </c>
      <c r="K315" s="305">
        <f>+K314</f>
        <v>369.97055937193329</v>
      </c>
      <c r="L315" s="20" t="s">
        <v>9</v>
      </c>
    </row>
    <row r="316" spans="1:21" ht="30" customHeight="1" thickBot="1" x14ac:dyDescent="0.3">
      <c r="A316" s="76"/>
      <c r="B316" s="77"/>
      <c r="C316" s="77"/>
      <c r="D316" s="77"/>
      <c r="E316" s="77"/>
      <c r="F316" s="77"/>
      <c r="G316" s="77"/>
      <c r="H316" s="77"/>
      <c r="I316" s="77"/>
      <c r="J316" s="77"/>
      <c r="K316" s="77"/>
      <c r="L316" s="78"/>
      <c r="M316" s="43"/>
    </row>
    <row r="317" spans="1:21" ht="30" customHeight="1" x14ac:dyDescent="0.25">
      <c r="A317" s="306" t="s">
        <v>288</v>
      </c>
      <c r="B317" s="307">
        <v>1321</v>
      </c>
      <c r="C317" s="308" t="s">
        <v>523</v>
      </c>
      <c r="D317" s="309"/>
      <c r="E317" s="310" t="s">
        <v>291</v>
      </c>
      <c r="F317" s="311" t="s">
        <v>11</v>
      </c>
      <c r="G317" s="312"/>
      <c r="H317" s="313"/>
      <c r="I317" s="310" t="s">
        <v>292</v>
      </c>
      <c r="J317" s="314" t="s">
        <v>528</v>
      </c>
      <c r="K317" s="314"/>
      <c r="L317" s="315"/>
      <c r="P317" s="43"/>
      <c r="Q317" s="43"/>
      <c r="R317" s="43"/>
      <c r="S317" s="60"/>
      <c r="T317" s="60"/>
      <c r="U317" s="43"/>
    </row>
    <row r="318" spans="1:21" s="49" customFormat="1" ht="30" customHeight="1" x14ac:dyDescent="0.25">
      <c r="A318" s="316" t="s">
        <v>529</v>
      </c>
      <c r="B318" s="317" t="s">
        <v>295</v>
      </c>
      <c r="C318" s="318"/>
      <c r="D318" s="319"/>
      <c r="E318" s="320" t="s">
        <v>519</v>
      </c>
      <c r="F318" s="320" t="s">
        <v>2</v>
      </c>
      <c r="G318" s="321"/>
      <c r="H318" s="322"/>
      <c r="I318" s="321" t="s">
        <v>530</v>
      </c>
      <c r="J318" s="322"/>
      <c r="K318" s="288" t="s">
        <v>521</v>
      </c>
      <c r="L318" s="289"/>
      <c r="M318" s="1930"/>
      <c r="N318" s="1931"/>
      <c r="O318" s="27"/>
      <c r="P318" s="50"/>
      <c r="Q318" s="50"/>
      <c r="R318" s="50"/>
      <c r="S318" s="212"/>
      <c r="T318" s="212"/>
      <c r="U318" s="50"/>
    </row>
    <row r="319" spans="1:21" s="41" customFormat="1" ht="30" customHeight="1" x14ac:dyDescent="0.25">
      <c r="A319" s="24" t="s">
        <v>531</v>
      </c>
      <c r="B319" s="323" t="s">
        <v>532</v>
      </c>
      <c r="C319" s="324"/>
      <c r="D319" s="325"/>
      <c r="E319" s="326">
        <f>(46600+68250)/2</f>
        <v>57425</v>
      </c>
      <c r="F319" s="327" t="s">
        <v>11</v>
      </c>
      <c r="G319" s="328"/>
      <c r="H319" s="329"/>
      <c r="I319" s="330">
        <v>1.03</v>
      </c>
      <c r="J319" s="331"/>
      <c r="K319" s="332">
        <f>+E319*I319</f>
        <v>59147.75</v>
      </c>
      <c r="L319" s="333" t="s">
        <v>11</v>
      </c>
      <c r="M319" s="1930"/>
      <c r="N319" s="1931"/>
      <c r="O319" s="42"/>
    </row>
    <row r="320" spans="1:21" s="41" customFormat="1" ht="30" customHeight="1" x14ac:dyDescent="0.25">
      <c r="A320" s="24"/>
      <c r="B320" s="334"/>
      <c r="C320" s="335"/>
      <c r="D320" s="336"/>
      <c r="E320" s="337"/>
      <c r="F320" s="338" t="s">
        <v>533</v>
      </c>
      <c r="G320" s="339" t="s">
        <v>534</v>
      </c>
      <c r="H320" s="339"/>
      <c r="I320" s="339"/>
      <c r="J320" s="339"/>
      <c r="K320" s="340">
        <v>1.07</v>
      </c>
      <c r="L320" s="13"/>
      <c r="M320" s="341"/>
      <c r="N320" s="342"/>
      <c r="O320" s="42"/>
    </row>
    <row r="321" spans="1:21" s="41" customFormat="1" ht="30" customHeight="1" x14ac:dyDescent="0.25">
      <c r="A321" s="24"/>
      <c r="B321" s="334"/>
      <c r="C321" s="335"/>
      <c r="D321" s="336"/>
      <c r="E321" s="337"/>
      <c r="F321" s="343"/>
      <c r="G321" s="344" t="s">
        <v>535</v>
      </c>
      <c r="H321" s="344"/>
      <c r="I321" s="344"/>
      <c r="J321" s="344"/>
      <c r="K321" s="340">
        <v>1.02</v>
      </c>
      <c r="L321" s="13"/>
      <c r="M321" s="1930"/>
      <c r="N321" s="1931"/>
      <c r="O321" s="42"/>
    </row>
    <row r="322" spans="1:21" ht="30" customHeight="1" x14ac:dyDescent="0.25">
      <c r="A322" s="345"/>
      <c r="B322" s="346"/>
      <c r="C322" s="347"/>
      <c r="D322" s="348"/>
      <c r="E322" s="349"/>
      <c r="F322" s="350"/>
      <c r="G322" s="350"/>
      <c r="H322" s="351" t="s">
        <v>536</v>
      </c>
      <c r="I322" s="352"/>
      <c r="J322" s="353" t="s">
        <v>358</v>
      </c>
      <c r="K322" s="354">
        <f>K319*K320/K321</f>
        <v>62047.149509803923</v>
      </c>
      <c r="L322" s="355" t="s">
        <v>11</v>
      </c>
    </row>
    <row r="323" spans="1:21" ht="30" customHeight="1" x14ac:dyDescent="0.25">
      <c r="A323" s="356"/>
      <c r="B323" s="357"/>
      <c r="C323" s="357"/>
      <c r="D323" s="357"/>
      <c r="E323" s="358"/>
      <c r="F323" s="358"/>
      <c r="G323" s="359" t="s">
        <v>537</v>
      </c>
      <c r="H323" s="358"/>
      <c r="I323" s="360"/>
      <c r="J323" s="361">
        <f>VLOOKUP(B317,'Mil Cost Premiums for RUCs'!$A$4:$R$265,18,FALSE)</f>
        <v>1.0209999999999999</v>
      </c>
      <c r="K323" s="362">
        <f>+K322*J323</f>
        <v>63350.139649509802</v>
      </c>
      <c r="L323" s="363" t="s">
        <v>11</v>
      </c>
      <c r="N323" s="364"/>
    </row>
    <row r="324" spans="1:21" ht="75" customHeight="1" x14ac:dyDescent="0.25">
      <c r="A324" s="365" t="s">
        <v>538</v>
      </c>
      <c r="B324" s="366"/>
      <c r="C324" s="366"/>
      <c r="D324" s="366"/>
      <c r="E324" s="366"/>
      <c r="F324" s="366"/>
      <c r="G324" s="366"/>
      <c r="H324" s="366"/>
      <c r="I324" s="366"/>
      <c r="J324" s="366"/>
      <c r="K324" s="366"/>
      <c r="L324" s="367"/>
    </row>
    <row r="325" spans="1:21" ht="30" customHeight="1" x14ac:dyDescent="0.25">
      <c r="A325" s="368" t="s">
        <v>539</v>
      </c>
      <c r="B325" s="369"/>
      <c r="C325" s="369"/>
      <c r="D325" s="370" t="s">
        <v>540</v>
      </c>
      <c r="E325" s="371"/>
      <c r="F325" s="371"/>
      <c r="G325" s="371"/>
      <c r="H325" s="371"/>
      <c r="I325" s="371"/>
      <c r="J325" s="371"/>
      <c r="K325" s="371"/>
      <c r="L325" s="371"/>
    </row>
    <row r="326" spans="1:21" ht="30" customHeight="1" x14ac:dyDescent="0.25">
      <c r="A326" s="372" t="s">
        <v>541</v>
      </c>
      <c r="B326" s="369"/>
      <c r="C326" s="369"/>
      <c r="D326" s="370" t="s">
        <v>542</v>
      </c>
      <c r="E326" s="371"/>
      <c r="F326" s="371"/>
      <c r="G326" s="371"/>
      <c r="H326" s="371"/>
      <c r="I326" s="371"/>
      <c r="J326" s="371"/>
      <c r="K326" s="371"/>
      <c r="L326" s="371"/>
    </row>
    <row r="327" spans="1:21" ht="30" customHeight="1" x14ac:dyDescent="0.25">
      <c r="A327" s="372" t="s">
        <v>543</v>
      </c>
      <c r="B327" s="369"/>
      <c r="C327" s="369"/>
      <c r="D327" s="373" t="s">
        <v>544</v>
      </c>
      <c r="E327" s="374"/>
      <c r="F327" s="374"/>
      <c r="G327" s="374"/>
      <c r="H327" s="374"/>
      <c r="I327" s="374"/>
      <c r="J327" s="374"/>
      <c r="K327" s="374"/>
      <c r="L327" s="374"/>
      <c r="M327" s="375" t="s">
        <v>545</v>
      </c>
      <c r="N327" s="376"/>
    </row>
    <row r="328" spans="1:21" ht="30" customHeight="1" x14ac:dyDescent="0.25">
      <c r="A328" s="372" t="s">
        <v>546</v>
      </c>
      <c r="B328" s="369"/>
      <c r="C328" s="369"/>
      <c r="D328" s="377" t="s">
        <v>547</v>
      </c>
      <c r="E328" s="378"/>
      <c r="F328" s="378"/>
      <c r="G328" s="378"/>
      <c r="H328" s="378"/>
      <c r="I328" s="378"/>
      <c r="J328" s="378"/>
      <c r="K328" s="378"/>
      <c r="L328" s="379"/>
      <c r="M328" s="380"/>
    </row>
    <row r="329" spans="1:21" ht="30" customHeight="1" x14ac:dyDescent="0.25">
      <c r="A329" s="372" t="s">
        <v>548</v>
      </c>
      <c r="B329" s="369"/>
      <c r="C329" s="369"/>
      <c r="D329" s="373" t="s">
        <v>549</v>
      </c>
      <c r="E329" s="374"/>
      <c r="F329" s="374"/>
      <c r="G329" s="374"/>
      <c r="H329" s="374"/>
      <c r="I329" s="374"/>
      <c r="J329" s="374"/>
      <c r="K329" s="374"/>
      <c r="L329" s="374"/>
      <c r="M329" s="380"/>
    </row>
    <row r="330" spans="1:21" ht="30" customHeight="1" x14ac:dyDescent="0.25">
      <c r="A330" s="372" t="s">
        <v>550</v>
      </c>
      <c r="B330" s="369"/>
      <c r="C330" s="369"/>
      <c r="D330" s="373" t="s">
        <v>551</v>
      </c>
      <c r="E330" s="374"/>
      <c r="F330" s="374"/>
      <c r="G330" s="374"/>
      <c r="H330" s="374"/>
      <c r="I330" s="374"/>
      <c r="J330" s="374"/>
      <c r="K330" s="374"/>
      <c r="L330" s="374"/>
      <c r="M330" s="1930"/>
    </row>
    <row r="331" spans="1:21" ht="30" customHeight="1" x14ac:dyDescent="0.25">
      <c r="A331" s="372" t="s">
        <v>552</v>
      </c>
      <c r="B331" s="369"/>
      <c r="C331" s="369"/>
      <c r="D331" s="1851" t="s">
        <v>3382</v>
      </c>
      <c r="E331" s="565"/>
      <c r="F331" s="565"/>
      <c r="G331" s="565"/>
      <c r="H331" s="565"/>
      <c r="I331" s="565"/>
      <c r="J331" s="565"/>
      <c r="K331" s="565"/>
      <c r="L331" s="565"/>
      <c r="M331" s="1930"/>
    </row>
    <row r="332" spans="1:21" ht="30" customHeight="1" x14ac:dyDescent="0.25">
      <c r="A332" s="381" t="s">
        <v>553</v>
      </c>
      <c r="B332" s="369"/>
      <c r="C332" s="369"/>
      <c r="D332" s="382" t="s">
        <v>554</v>
      </c>
      <c r="E332" s="383"/>
      <c r="F332" s="383"/>
      <c r="G332" s="383"/>
      <c r="H332" s="383"/>
      <c r="I332" s="383"/>
      <c r="J332" s="383"/>
      <c r="K332" s="383"/>
      <c r="L332" s="384"/>
      <c r="M332" s="385" t="s">
        <v>555</v>
      </c>
    </row>
    <row r="333" spans="1:21" ht="30" customHeight="1" thickBot="1" x14ac:dyDescent="0.3">
      <c r="A333" s="381" t="s">
        <v>556</v>
      </c>
      <c r="B333" s="369"/>
      <c r="C333" s="369"/>
      <c r="D333" s="386" t="s">
        <v>557</v>
      </c>
      <c r="E333" s="383"/>
      <c r="F333" s="383"/>
      <c r="G333" s="383"/>
      <c r="H333" s="383"/>
      <c r="I333" s="383"/>
      <c r="J333" s="383"/>
      <c r="K333" s="383"/>
      <c r="L333" s="384"/>
    </row>
    <row r="334" spans="1:21" ht="30" customHeight="1" thickBot="1" x14ac:dyDescent="0.3">
      <c r="A334" s="76"/>
      <c r="B334" s="77"/>
      <c r="C334" s="77"/>
      <c r="D334" s="77"/>
      <c r="E334" s="77"/>
      <c r="F334" s="77"/>
      <c r="G334" s="77"/>
      <c r="H334" s="77"/>
      <c r="I334" s="77"/>
      <c r="J334" s="77"/>
      <c r="K334" s="77"/>
      <c r="L334" s="78"/>
      <c r="M334" s="43"/>
    </row>
    <row r="335" spans="1:21" ht="30" customHeight="1" x14ac:dyDescent="0.25">
      <c r="A335" s="30" t="s">
        <v>288</v>
      </c>
      <c r="B335" s="208">
        <v>1331</v>
      </c>
      <c r="C335" s="282" t="s">
        <v>558</v>
      </c>
      <c r="D335" s="283"/>
      <c r="E335" s="177" t="s">
        <v>291</v>
      </c>
      <c r="F335" s="178" t="s">
        <v>9</v>
      </c>
      <c r="G335" s="123" t="s">
        <v>375</v>
      </c>
      <c r="H335" s="302">
        <v>2266</v>
      </c>
      <c r="I335" s="177" t="s">
        <v>292</v>
      </c>
      <c r="J335" s="38" t="s">
        <v>516</v>
      </c>
      <c r="K335" s="39"/>
      <c r="L335" s="40"/>
      <c r="P335" s="43"/>
      <c r="Q335" s="43"/>
      <c r="R335" s="43"/>
      <c r="S335" s="60"/>
      <c r="T335" s="60"/>
      <c r="U335" s="43"/>
    </row>
    <row r="336" spans="1:21" s="49" customFormat="1" ht="30" customHeight="1" x14ac:dyDescent="0.25">
      <c r="A336" s="44" t="s">
        <v>517</v>
      </c>
      <c r="B336" s="180" t="s">
        <v>295</v>
      </c>
      <c r="C336" s="180"/>
      <c r="D336" s="180"/>
      <c r="E336" s="182" t="s">
        <v>518</v>
      </c>
      <c r="F336" s="285" t="s">
        <v>519</v>
      </c>
      <c r="G336" s="181"/>
      <c r="H336" s="181"/>
      <c r="I336" s="286" t="s">
        <v>520</v>
      </c>
      <c r="J336" s="287"/>
      <c r="K336" s="288" t="s">
        <v>521</v>
      </c>
      <c r="L336" s="289"/>
      <c r="M336" s="502"/>
      <c r="N336" s="502"/>
      <c r="O336" s="27"/>
      <c r="P336" s="50"/>
      <c r="Q336" s="50"/>
      <c r="R336" s="50"/>
      <c r="S336" s="212"/>
      <c r="T336" s="212"/>
      <c r="U336" s="50"/>
    </row>
    <row r="337" spans="1:18" s="41" customFormat="1" ht="30" customHeight="1" x14ac:dyDescent="0.25">
      <c r="A337" s="65" t="s">
        <v>522</v>
      </c>
      <c r="B337" s="214" t="s">
        <v>523</v>
      </c>
      <c r="C337" s="214"/>
      <c r="D337" s="214"/>
      <c r="E337" s="291">
        <v>34000</v>
      </c>
      <c r="F337" s="292">
        <v>360</v>
      </c>
      <c r="G337" s="293"/>
      <c r="H337" s="294"/>
      <c r="I337" s="295" t="s">
        <v>524</v>
      </c>
      <c r="J337" s="296"/>
      <c r="K337" s="292">
        <f>+F337</f>
        <v>360</v>
      </c>
      <c r="L337" s="290" t="s">
        <v>9</v>
      </c>
      <c r="M337" s="341"/>
      <c r="N337" s="342"/>
      <c r="O337" s="42"/>
    </row>
    <row r="338" spans="1:18" ht="30" customHeight="1" thickBot="1" x14ac:dyDescent="0.3">
      <c r="A338" s="61"/>
      <c r="B338" s="191"/>
      <c r="C338" s="191"/>
      <c r="D338" s="191"/>
      <c r="E338" s="297"/>
      <c r="F338" s="298"/>
      <c r="G338" s="298"/>
      <c r="H338" s="299"/>
      <c r="I338" s="18"/>
      <c r="J338" s="300" t="s">
        <v>358</v>
      </c>
      <c r="K338" s="301">
        <f>+K337</f>
        <v>360</v>
      </c>
      <c r="L338" s="20" t="s">
        <v>9</v>
      </c>
    </row>
    <row r="339" spans="1:18" ht="30" customHeight="1" thickBot="1" x14ac:dyDescent="0.3">
      <c r="A339" s="76"/>
      <c r="B339" s="77"/>
      <c r="C339" s="77"/>
      <c r="D339" s="77"/>
      <c r="E339" s="77"/>
      <c r="F339" s="77"/>
      <c r="G339" s="77"/>
      <c r="H339" s="77"/>
      <c r="I339" s="77"/>
      <c r="J339" s="77"/>
      <c r="K339" s="77"/>
      <c r="L339" s="78"/>
      <c r="M339" s="43"/>
    </row>
    <row r="340" spans="1:18" ht="30" customHeight="1" x14ac:dyDescent="0.25">
      <c r="A340" s="30" t="s">
        <v>288</v>
      </c>
      <c r="B340" s="208">
        <v>1341</v>
      </c>
      <c r="C340" s="387" t="s">
        <v>559</v>
      </c>
      <c r="D340" s="388"/>
      <c r="E340" s="177" t="s">
        <v>291</v>
      </c>
      <c r="F340" s="178" t="s">
        <v>11</v>
      </c>
      <c r="G340" s="388"/>
      <c r="H340" s="388"/>
      <c r="I340" s="177" t="s">
        <v>292</v>
      </c>
      <c r="J340" s="38" t="s">
        <v>3397</v>
      </c>
      <c r="K340" s="38"/>
      <c r="L340" s="389"/>
      <c r="M340" s="419"/>
      <c r="N340" s="420"/>
      <c r="O340"/>
      <c r="P340" s="392"/>
      <c r="Q340" s="391"/>
      <c r="R340" s="393"/>
    </row>
    <row r="341" spans="1:18" s="49" customFormat="1" ht="30" customHeight="1" x14ac:dyDescent="0.25">
      <c r="A341" s="48" t="s">
        <v>529</v>
      </c>
      <c r="B341" s="394" t="s">
        <v>560</v>
      </c>
      <c r="C341" s="395"/>
      <c r="D341" s="396"/>
      <c r="E341" s="397" t="s">
        <v>519</v>
      </c>
      <c r="F341" s="397" t="s">
        <v>561</v>
      </c>
      <c r="G341" s="398" t="s">
        <v>562</v>
      </c>
      <c r="H341" s="399"/>
      <c r="I341" s="286" t="s">
        <v>530</v>
      </c>
      <c r="J341" s="287"/>
      <c r="K341" s="288" t="s">
        <v>521</v>
      </c>
      <c r="L341" s="289"/>
      <c r="M341" s="425"/>
      <c r="N341" s="420"/>
      <c r="P341" s="392"/>
      <c r="Q341" s="391"/>
      <c r="R341" s="393"/>
    </row>
    <row r="342" spans="1:18" ht="30" customHeight="1" x14ac:dyDescent="0.25">
      <c r="A342" s="61" t="s">
        <v>563</v>
      </c>
      <c r="B342" s="402" t="s">
        <v>564</v>
      </c>
      <c r="C342" s="403"/>
      <c r="D342" s="404"/>
      <c r="E342" s="405">
        <v>90.91</v>
      </c>
      <c r="F342" s="20" t="s">
        <v>9</v>
      </c>
      <c r="G342" s="406">
        <v>100</v>
      </c>
      <c r="H342" s="407" t="s">
        <v>565</v>
      </c>
      <c r="I342" s="1121">
        <v>1.05</v>
      </c>
      <c r="J342" s="1123"/>
      <c r="K342" s="405">
        <f>+E342*G342*I342</f>
        <v>9545.5500000000011</v>
      </c>
      <c r="L342" s="20" t="s">
        <v>11</v>
      </c>
      <c r="M342" s="408"/>
      <c r="N342" s="420"/>
      <c r="O342"/>
      <c r="P342" s="392"/>
      <c r="Q342" s="391"/>
      <c r="R342" s="393"/>
    </row>
    <row r="343" spans="1:18" ht="30" customHeight="1" x14ac:dyDescent="0.25">
      <c r="A343" s="61"/>
      <c r="B343" s="186" t="s">
        <v>566</v>
      </c>
      <c r="C343" s="186"/>
      <c r="D343" s="186"/>
      <c r="E343" s="405"/>
      <c r="F343" s="338" t="s">
        <v>533</v>
      </c>
      <c r="G343" s="339" t="s">
        <v>534</v>
      </c>
      <c r="H343" s="339"/>
      <c r="I343" s="339"/>
      <c r="J343" s="339"/>
      <c r="K343" s="409">
        <v>1.07</v>
      </c>
      <c r="L343" s="20"/>
      <c r="M343" s="419"/>
      <c r="N343" s="420"/>
      <c r="O343"/>
      <c r="P343" s="392"/>
      <c r="Q343" s="391"/>
      <c r="R343" s="393"/>
    </row>
    <row r="344" spans="1:18" ht="30" customHeight="1" x14ac:dyDescent="0.25">
      <c r="A344" s="61"/>
      <c r="B344" s="410"/>
      <c r="C344" s="410"/>
      <c r="D344" s="410"/>
      <c r="E344" s="405"/>
      <c r="F344" s="343"/>
      <c r="G344" s="344" t="s">
        <v>535</v>
      </c>
      <c r="H344" s="344"/>
      <c r="I344" s="344"/>
      <c r="J344" s="344"/>
      <c r="K344" s="340">
        <v>1.02</v>
      </c>
      <c r="L344" s="20"/>
      <c r="M344" s="419"/>
      <c r="N344" s="420"/>
      <c r="O344"/>
      <c r="P344" s="392"/>
      <c r="Q344" s="391"/>
      <c r="R344" s="393"/>
    </row>
    <row r="345" spans="1:18" ht="30" customHeight="1" x14ac:dyDescent="0.25">
      <c r="A345" s="61"/>
      <c r="B345" s="20"/>
      <c r="C345" s="18"/>
      <c r="D345" s="18"/>
      <c r="E345" s="18"/>
      <c r="F345" s="18"/>
      <c r="G345" s="18"/>
      <c r="H345" s="18"/>
      <c r="I345" s="18"/>
      <c r="J345" s="411" t="s">
        <v>358</v>
      </c>
      <c r="K345" s="23">
        <f>+K342*K343/K344</f>
        <v>10013.469117647061</v>
      </c>
      <c r="L345" s="20" t="s">
        <v>11</v>
      </c>
      <c r="M345" s="419"/>
      <c r="N345" s="420"/>
      <c r="O345"/>
      <c r="P345" s="412"/>
      <c r="Q345" s="391"/>
      <c r="R345" s="393"/>
    </row>
    <row r="346" spans="1:18" ht="30" customHeight="1" thickBot="1" x14ac:dyDescent="0.3">
      <c r="A346" s="61"/>
      <c r="B346" s="20"/>
      <c r="C346" s="18"/>
      <c r="D346" s="18"/>
      <c r="E346" s="18"/>
      <c r="F346" s="18"/>
      <c r="G346" s="413" t="s">
        <v>537</v>
      </c>
      <c r="H346" s="18"/>
      <c r="I346" s="18"/>
      <c r="J346" s="361">
        <f>VLOOKUP(B340,'Mil Cost Premiums for RUCs'!$A$4:$R$265,18,FALSE)</f>
        <v>1.0209999999999999</v>
      </c>
      <c r="K346" s="23">
        <f>+K345*J346</f>
        <v>10223.751969117648</v>
      </c>
      <c r="L346" s="20" t="s">
        <v>11</v>
      </c>
      <c r="M346" s="419"/>
      <c r="N346" s="420"/>
      <c r="O346"/>
      <c r="P346" s="412"/>
      <c r="Q346" s="391"/>
      <c r="R346" s="393"/>
    </row>
    <row r="347" spans="1:18" ht="30" customHeight="1" thickBot="1" x14ac:dyDescent="0.3">
      <c r="A347" s="76"/>
      <c r="B347" s="77"/>
      <c r="C347" s="77"/>
      <c r="D347" s="77"/>
      <c r="E347" s="77"/>
      <c r="F347" s="77"/>
      <c r="G347" s="77"/>
      <c r="H347" s="77"/>
      <c r="I347" s="77"/>
      <c r="J347" s="77"/>
      <c r="K347" s="77"/>
      <c r="L347" s="78"/>
      <c r="M347" s="419"/>
      <c r="N347" s="420"/>
      <c r="O347"/>
      <c r="P347" s="412"/>
      <c r="Q347" s="391"/>
      <c r="R347" s="393"/>
    </row>
    <row r="348" spans="1:18" ht="30" customHeight="1" x14ac:dyDescent="0.25">
      <c r="A348" s="414" t="s">
        <v>288</v>
      </c>
      <c r="B348" s="414">
        <v>1351</v>
      </c>
      <c r="C348" s="415" t="s">
        <v>567</v>
      </c>
      <c r="D348" s="416"/>
      <c r="E348" s="417" t="s">
        <v>291</v>
      </c>
      <c r="F348" s="418" t="s">
        <v>14</v>
      </c>
      <c r="G348" s="414"/>
      <c r="H348" s="414"/>
      <c r="I348" s="177" t="s">
        <v>292</v>
      </c>
      <c r="J348" s="38" t="s">
        <v>568</v>
      </c>
      <c r="K348" s="38"/>
      <c r="L348" s="389"/>
      <c r="M348" s="419"/>
      <c r="N348" s="420"/>
      <c r="O348"/>
      <c r="P348" s="412"/>
      <c r="Q348" s="391"/>
      <c r="R348" s="393"/>
    </row>
    <row r="349" spans="1:18" s="49" customFormat="1" ht="30" customHeight="1" x14ac:dyDescent="0.25">
      <c r="A349" s="421" t="s">
        <v>529</v>
      </c>
      <c r="B349" s="422" t="s">
        <v>560</v>
      </c>
      <c r="C349" s="423"/>
      <c r="D349" s="289"/>
      <c r="E349" s="421" t="s">
        <v>519</v>
      </c>
      <c r="F349" s="421" t="s">
        <v>561</v>
      </c>
      <c r="G349" s="421" t="s">
        <v>562</v>
      </c>
      <c r="H349" s="421"/>
      <c r="I349" s="424" t="s">
        <v>530</v>
      </c>
      <c r="J349" s="424" t="s">
        <v>569</v>
      </c>
      <c r="K349" s="288" t="s">
        <v>521</v>
      </c>
      <c r="L349" s="289"/>
      <c r="M349" s="425"/>
      <c r="N349" s="420"/>
      <c r="P349" s="412"/>
      <c r="Q349" s="391"/>
      <c r="R349" s="393"/>
    </row>
    <row r="350" spans="1:18" ht="30" customHeight="1" x14ac:dyDescent="0.25">
      <c r="A350" s="10">
        <v>13510</v>
      </c>
      <c r="B350" s="426" t="s">
        <v>570</v>
      </c>
      <c r="C350" s="427"/>
      <c r="D350" s="428"/>
      <c r="E350" s="429">
        <v>2.9</v>
      </c>
      <c r="F350" s="13" t="s">
        <v>7</v>
      </c>
      <c r="G350" s="430">
        <v>5280</v>
      </c>
      <c r="H350" s="13" t="s">
        <v>571</v>
      </c>
      <c r="I350" s="431">
        <f>+'MILCON Inflation Table'!F16</f>
        <v>0.96211202832457809</v>
      </c>
      <c r="J350" s="432"/>
      <c r="K350" s="429">
        <f>+E350*I350*G350</f>
        <v>14731.85937770594</v>
      </c>
      <c r="L350" s="13" t="s">
        <v>14</v>
      </c>
      <c r="M350" s="433"/>
      <c r="N350" s="420"/>
      <c r="O350"/>
      <c r="P350" s="412"/>
      <c r="Q350" s="391"/>
      <c r="R350" s="393"/>
    </row>
    <row r="351" spans="1:18" ht="30" customHeight="1" x14ac:dyDescent="0.25">
      <c r="A351" s="10">
        <v>13510</v>
      </c>
      <c r="B351" s="426" t="s">
        <v>572</v>
      </c>
      <c r="C351" s="427"/>
      <c r="D351" s="428"/>
      <c r="E351" s="429">
        <v>938</v>
      </c>
      <c r="F351" s="13" t="s">
        <v>11</v>
      </c>
      <c r="G351" s="13">
        <v>6</v>
      </c>
      <c r="H351" s="13" t="s">
        <v>573</v>
      </c>
      <c r="I351" s="431">
        <f>+'MILCON Inflation Table'!F16</f>
        <v>0.96211202832457809</v>
      </c>
      <c r="J351" s="432"/>
      <c r="K351" s="429">
        <f>+E351*I351*G351</f>
        <v>5414.7664954107258</v>
      </c>
      <c r="L351" s="13" t="s">
        <v>14</v>
      </c>
      <c r="M351" s="434"/>
      <c r="N351" s="105"/>
      <c r="O351"/>
      <c r="P351" s="412"/>
      <c r="Q351" s="391"/>
      <c r="R351" s="393"/>
    </row>
    <row r="352" spans="1:18" ht="30" customHeight="1" x14ac:dyDescent="0.25">
      <c r="A352" s="10" t="s">
        <v>574</v>
      </c>
      <c r="B352" s="435" t="s">
        <v>575</v>
      </c>
      <c r="C352" s="436"/>
      <c r="D352" s="437"/>
      <c r="E352" s="429">
        <v>6.54</v>
      </c>
      <c r="F352" s="13" t="s">
        <v>576</v>
      </c>
      <c r="G352" s="13">
        <v>5280</v>
      </c>
      <c r="H352" s="13" t="s">
        <v>571</v>
      </c>
      <c r="I352" s="13">
        <v>1.04</v>
      </c>
      <c r="J352" s="432">
        <f>1.07/1.02</f>
        <v>1.0490196078431373</v>
      </c>
      <c r="K352" s="429">
        <f>+E352*G352*I352</f>
        <v>35912.447999999997</v>
      </c>
      <c r="L352" s="13" t="s">
        <v>14</v>
      </c>
      <c r="M352" s="1951"/>
      <c r="N352" s="1959"/>
      <c r="O352"/>
      <c r="P352" s="412"/>
      <c r="Q352" s="391"/>
      <c r="R352" s="393"/>
    </row>
    <row r="353" spans="1:21" ht="30" customHeight="1" x14ac:dyDescent="0.25">
      <c r="A353" s="10" t="s">
        <v>574</v>
      </c>
      <c r="B353" s="435" t="s">
        <v>577</v>
      </c>
      <c r="C353" s="436"/>
      <c r="D353" s="437"/>
      <c r="E353" s="429">
        <v>5.83</v>
      </c>
      <c r="F353" s="13" t="s">
        <v>576</v>
      </c>
      <c r="G353" s="13">
        <v>5280</v>
      </c>
      <c r="H353" s="13" t="s">
        <v>571</v>
      </c>
      <c r="I353" s="13">
        <v>1.04</v>
      </c>
      <c r="J353" s="432">
        <f>1.07/1.02</f>
        <v>1.0490196078431373</v>
      </c>
      <c r="K353" s="429">
        <f>+E353*G353*I353</f>
        <v>32013.696000000004</v>
      </c>
      <c r="L353" s="13" t="s">
        <v>14</v>
      </c>
      <c r="M353" s="1951"/>
      <c r="N353" s="1959"/>
      <c r="O353"/>
      <c r="P353" s="412"/>
      <c r="Q353" s="391"/>
      <c r="R353" s="393"/>
    </row>
    <row r="354" spans="1:21" ht="30" customHeight="1" x14ac:dyDescent="0.25">
      <c r="A354" s="13"/>
      <c r="B354" s="438"/>
      <c r="C354" s="439"/>
      <c r="D354" s="440"/>
      <c r="E354" s="429"/>
      <c r="F354" s="13"/>
      <c r="G354" s="13"/>
      <c r="H354" s="13"/>
      <c r="I354" s="441" t="s">
        <v>578</v>
      </c>
      <c r="J354" s="442"/>
      <c r="K354" s="429">
        <f>SUM(K350:K353)</f>
        <v>88072.76987311666</v>
      </c>
      <c r="L354" s="13" t="s">
        <v>14</v>
      </c>
      <c r="M354" s="419"/>
      <c r="N354" s="420"/>
      <c r="O354"/>
      <c r="P354" s="412"/>
      <c r="Q354" s="391"/>
      <c r="R354" s="393"/>
    </row>
    <row r="355" spans="1:21" ht="30" customHeight="1" x14ac:dyDescent="0.25">
      <c r="A355" s="346" t="s">
        <v>579</v>
      </c>
      <c r="B355" s="347"/>
      <c r="C355" s="347"/>
      <c r="D355" s="347"/>
      <c r="E355" s="347"/>
      <c r="F355" s="348"/>
      <c r="G355" s="13"/>
      <c r="H355" s="13"/>
      <c r="I355" s="441" t="s">
        <v>358</v>
      </c>
      <c r="J355" s="442"/>
      <c r="K355" s="429">
        <f>+K354</f>
        <v>88072.76987311666</v>
      </c>
      <c r="L355" s="13" t="s">
        <v>14</v>
      </c>
      <c r="M355" s="419"/>
      <c r="N355" s="420"/>
      <c r="O355"/>
      <c r="P355" s="412"/>
      <c r="Q355" s="391"/>
      <c r="R355" s="393"/>
    </row>
    <row r="356" spans="1:21" ht="30" customHeight="1" x14ac:dyDescent="0.25">
      <c r="A356" s="443"/>
      <c r="B356" s="444"/>
      <c r="C356" s="444"/>
      <c r="D356" s="444"/>
      <c r="E356" s="444"/>
      <c r="F356" s="444"/>
      <c r="G356" s="445" t="s">
        <v>537</v>
      </c>
      <c r="H356" s="444"/>
      <c r="I356" s="446"/>
      <c r="J356" s="447">
        <f>VLOOKUP(B348,'Mil Cost Premiums for RUCs'!$A$4:$R$265,18,FALSE)</f>
        <v>1.0209999999999999</v>
      </c>
      <c r="K356" s="448">
        <f>+K355*J356</f>
        <v>89922.298040452108</v>
      </c>
      <c r="L356" s="64" t="s">
        <v>14</v>
      </c>
      <c r="M356" s="419"/>
      <c r="N356" s="420"/>
      <c r="O356"/>
      <c r="P356" s="412"/>
      <c r="Q356" s="391"/>
      <c r="R356" s="393"/>
    </row>
    <row r="357" spans="1:21" ht="75" customHeight="1" x14ac:dyDescent="0.25">
      <c r="A357" s="449" t="s">
        <v>538</v>
      </c>
      <c r="B357" s="450"/>
      <c r="C357" s="450"/>
      <c r="D357" s="450"/>
      <c r="E357" s="450"/>
      <c r="F357" s="450"/>
      <c r="G357" s="450"/>
      <c r="H357" s="450"/>
      <c r="I357" s="450"/>
      <c r="J357" s="450"/>
      <c r="K357" s="450"/>
      <c r="L357" s="451"/>
      <c r="M357" s="419"/>
      <c r="N357" s="420"/>
      <c r="O357"/>
      <c r="P357" s="412"/>
      <c r="Q357" s="391"/>
      <c r="R357" s="393"/>
    </row>
    <row r="358" spans="1:21" ht="30" customHeight="1" x14ac:dyDescent="0.25">
      <c r="A358" s="372" t="s">
        <v>539</v>
      </c>
      <c r="B358" s="452"/>
      <c r="C358" s="452"/>
      <c r="D358" s="372" t="s">
        <v>580</v>
      </c>
      <c r="E358" s="369"/>
      <c r="F358" s="369"/>
      <c r="G358" s="369"/>
      <c r="H358" s="369"/>
      <c r="I358" s="369"/>
      <c r="J358" s="369"/>
      <c r="K358" s="369"/>
      <c r="L358" s="369"/>
      <c r="M358" s="419"/>
      <c r="N358" s="420"/>
      <c r="O358"/>
      <c r="P358" s="412"/>
      <c r="Q358" s="391"/>
      <c r="R358" s="393"/>
    </row>
    <row r="359" spans="1:21" ht="30" customHeight="1" x14ac:dyDescent="0.25">
      <c r="A359" s="372" t="s">
        <v>541</v>
      </c>
      <c r="B359" s="452"/>
      <c r="C359" s="452"/>
      <c r="D359" s="453" t="s">
        <v>581</v>
      </c>
      <c r="E359" s="454"/>
      <c r="F359" s="454"/>
      <c r="G359" s="454"/>
      <c r="H359" s="454"/>
      <c r="I359" s="454"/>
      <c r="J359" s="454"/>
      <c r="K359" s="454"/>
      <c r="L359" s="455"/>
      <c r="M359" s="419"/>
      <c r="P359" s="412"/>
      <c r="Q359" s="391"/>
      <c r="R359" s="393"/>
    </row>
    <row r="360" spans="1:21" ht="30" customHeight="1" x14ac:dyDescent="0.25">
      <c r="A360" s="372" t="s">
        <v>543</v>
      </c>
      <c r="B360" s="452"/>
      <c r="C360" s="452"/>
      <c r="D360" s="456" t="s">
        <v>582</v>
      </c>
      <c r="E360" s="457"/>
      <c r="F360" s="457"/>
      <c r="G360" s="457"/>
      <c r="H360" s="457"/>
      <c r="I360" s="457"/>
      <c r="J360" s="457"/>
      <c r="K360" s="457"/>
      <c r="L360" s="458"/>
      <c r="M360" s="385"/>
      <c r="P360" s="412"/>
      <c r="Q360" s="391"/>
      <c r="R360" s="393"/>
    </row>
    <row r="361" spans="1:21" ht="30" customHeight="1" x14ac:dyDescent="0.25">
      <c r="A361" s="372" t="s">
        <v>546</v>
      </c>
      <c r="B361" s="452"/>
      <c r="C361" s="452"/>
      <c r="D361" s="228" t="s">
        <v>547</v>
      </c>
      <c r="E361" s="228"/>
      <c r="F361" s="228"/>
      <c r="G361" s="228"/>
      <c r="H361" s="228"/>
      <c r="I361" s="228"/>
      <c r="J361" s="228"/>
      <c r="K361" s="228"/>
      <c r="L361" s="228"/>
      <c r="O361"/>
      <c r="P361" s="412"/>
      <c r="Q361" s="391"/>
      <c r="R361" s="393"/>
    </row>
    <row r="362" spans="1:21" ht="30" customHeight="1" x14ac:dyDescent="0.25">
      <c r="A362" s="372" t="s">
        <v>548</v>
      </c>
      <c r="B362" s="452"/>
      <c r="C362" s="452"/>
      <c r="D362" s="372" t="s">
        <v>583</v>
      </c>
      <c r="E362" s="369"/>
      <c r="F362" s="369"/>
      <c r="G362" s="369"/>
      <c r="H362" s="369"/>
      <c r="I362" s="369"/>
      <c r="J362" s="369"/>
      <c r="K362" s="369"/>
      <c r="L362" s="369"/>
      <c r="O362"/>
      <c r="P362" s="412"/>
      <c r="Q362" s="391"/>
      <c r="R362" s="393"/>
    </row>
    <row r="363" spans="1:21" ht="30" customHeight="1" x14ac:dyDescent="0.25">
      <c r="A363" s="372" t="s">
        <v>550</v>
      </c>
      <c r="B363" s="452"/>
      <c r="C363" s="452"/>
      <c r="D363" s="459" t="s">
        <v>551</v>
      </c>
      <c r="E363" s="460"/>
      <c r="F363" s="460"/>
      <c r="G363" s="460"/>
      <c r="H363" s="460"/>
      <c r="I363" s="460"/>
      <c r="J363" s="460"/>
      <c r="K363" s="460"/>
      <c r="L363" s="461"/>
      <c r="O363"/>
      <c r="P363" s="412"/>
      <c r="Q363" s="391"/>
      <c r="R363" s="393"/>
    </row>
    <row r="364" spans="1:21" ht="30" customHeight="1" x14ac:dyDescent="0.25">
      <c r="A364" s="372" t="s">
        <v>552</v>
      </c>
      <c r="B364" s="452"/>
      <c r="C364" s="452"/>
      <c r="D364" s="459" t="s">
        <v>584</v>
      </c>
      <c r="E364" s="460"/>
      <c r="F364" s="460"/>
      <c r="G364" s="460"/>
      <c r="H364" s="460"/>
      <c r="I364" s="460"/>
      <c r="J364" s="460"/>
      <c r="K364" s="460"/>
      <c r="L364" s="461"/>
      <c r="O364"/>
      <c r="P364" s="412"/>
      <c r="Q364" s="391"/>
      <c r="R364" s="393"/>
    </row>
    <row r="365" spans="1:21" ht="30" customHeight="1" x14ac:dyDescent="0.25">
      <c r="A365" s="381" t="s">
        <v>553</v>
      </c>
      <c r="B365" s="462"/>
      <c r="C365" s="462"/>
      <c r="D365" s="382" t="s">
        <v>554</v>
      </c>
      <c r="E365" s="383"/>
      <c r="F365" s="383"/>
      <c r="G365" s="383"/>
      <c r="H365" s="383"/>
      <c r="I365" s="383"/>
      <c r="J365" s="383"/>
      <c r="K365" s="383"/>
      <c r="L365" s="384"/>
      <c r="M365" s="434"/>
      <c r="N365" s="105"/>
      <c r="O365" s="1960"/>
      <c r="P365" s="1960"/>
      <c r="Q365" s="57"/>
      <c r="R365" s="1961"/>
    </row>
    <row r="366" spans="1:21" ht="30" customHeight="1" thickBot="1" x14ac:dyDescent="0.3">
      <c r="A366" s="381" t="s">
        <v>556</v>
      </c>
      <c r="B366" s="464"/>
      <c r="C366" s="464"/>
      <c r="D366" s="386" t="s">
        <v>585</v>
      </c>
      <c r="E366" s="383"/>
      <c r="F366" s="383"/>
      <c r="G366" s="383"/>
      <c r="H366" s="383"/>
      <c r="I366" s="383"/>
      <c r="J366" s="383"/>
      <c r="K366" s="383"/>
      <c r="L366" s="384"/>
      <c r="M366" s="434"/>
      <c r="N366" s="105"/>
      <c r="O366" s="58"/>
      <c r="P366" s="59"/>
      <c r="Q366" s="59"/>
      <c r="R366" s="59"/>
    </row>
    <row r="367" spans="1:21" ht="30" customHeight="1" thickBot="1" x14ac:dyDescent="0.3">
      <c r="A367" s="76"/>
      <c r="B367" s="77"/>
      <c r="C367" s="77"/>
      <c r="D367" s="77"/>
      <c r="E367" s="77"/>
      <c r="F367" s="77"/>
      <c r="G367" s="77"/>
      <c r="H367" s="77"/>
      <c r="I367" s="77"/>
      <c r="J367" s="77"/>
      <c r="K367" s="77"/>
      <c r="L367" s="78"/>
      <c r="O367" s="58"/>
      <c r="P367" s="59"/>
      <c r="Q367" s="59"/>
      <c r="R367" s="59"/>
    </row>
    <row r="368" spans="1:21" ht="30" customHeight="1" x14ac:dyDescent="0.25">
      <c r="A368" s="207" t="s">
        <v>288</v>
      </c>
      <c r="B368" s="208">
        <v>1361</v>
      </c>
      <c r="C368" s="209" t="s">
        <v>586</v>
      </c>
      <c r="D368" s="210"/>
      <c r="E368" s="177" t="s">
        <v>291</v>
      </c>
      <c r="F368" s="178" t="s">
        <v>7</v>
      </c>
      <c r="G368" s="465" t="s">
        <v>290</v>
      </c>
      <c r="H368" s="179">
        <v>10000</v>
      </c>
      <c r="I368" s="177" t="s">
        <v>292</v>
      </c>
      <c r="J368" s="38" t="s">
        <v>400</v>
      </c>
      <c r="K368" s="39"/>
      <c r="L368" s="40"/>
      <c r="O368" s="58"/>
      <c r="P368" s="43"/>
      <c r="Q368" s="43"/>
      <c r="R368" s="43"/>
      <c r="S368" s="60"/>
      <c r="T368" s="60"/>
      <c r="U368" s="43"/>
    </row>
    <row r="369" spans="1:21" s="49" customFormat="1" ht="30" customHeight="1" x14ac:dyDescent="0.25">
      <c r="A369" s="181" t="s">
        <v>294</v>
      </c>
      <c r="B369" s="180" t="s">
        <v>295</v>
      </c>
      <c r="C369" s="180"/>
      <c r="D369" s="180"/>
      <c r="E369" s="181" t="s">
        <v>296</v>
      </c>
      <c r="F369" s="181" t="s">
        <v>2</v>
      </c>
      <c r="G369" s="182" t="s">
        <v>297</v>
      </c>
      <c r="H369" s="182" t="s">
        <v>298</v>
      </c>
      <c r="I369" s="182" t="s">
        <v>299</v>
      </c>
      <c r="J369" s="184" t="s">
        <v>300</v>
      </c>
      <c r="K369" s="184" t="s">
        <v>301</v>
      </c>
      <c r="L369" s="185"/>
      <c r="M369" s="502"/>
      <c r="N369" s="502"/>
      <c r="O369" s="27"/>
      <c r="P369" s="50"/>
      <c r="Q369" s="50"/>
      <c r="R369" s="50"/>
      <c r="S369" s="212"/>
      <c r="T369" s="212"/>
      <c r="U369" s="50"/>
    </row>
    <row r="370" spans="1:21" ht="30" customHeight="1" x14ac:dyDescent="0.25">
      <c r="A370" s="466" t="s">
        <v>587</v>
      </c>
      <c r="B370" s="467" t="s">
        <v>588</v>
      </c>
      <c r="C370" s="467"/>
      <c r="D370" s="467"/>
      <c r="E370" s="468">
        <v>20</v>
      </c>
      <c r="F370" s="147" t="s">
        <v>589</v>
      </c>
      <c r="G370" s="469" t="s">
        <v>590</v>
      </c>
      <c r="H370" s="469" t="s">
        <v>591</v>
      </c>
      <c r="I370" s="469" t="s">
        <v>592</v>
      </c>
      <c r="J370" s="470">
        <v>1441017.1</v>
      </c>
      <c r="K370" s="469" t="s">
        <v>593</v>
      </c>
      <c r="L370" s="67" t="s">
        <v>589</v>
      </c>
      <c r="N370" s="1888"/>
      <c r="P370" s="43"/>
      <c r="Q370" s="43"/>
      <c r="R370" s="43"/>
      <c r="S370" s="60"/>
      <c r="T370" s="60"/>
      <c r="U370" s="43"/>
    </row>
    <row r="371" spans="1:21" ht="30" customHeight="1" x14ac:dyDescent="0.25">
      <c r="A371" s="466" t="s">
        <v>594</v>
      </c>
      <c r="B371" s="214" t="s">
        <v>595</v>
      </c>
      <c r="C371" s="214"/>
      <c r="D371" s="214"/>
      <c r="E371" s="468">
        <v>10</v>
      </c>
      <c r="F371" s="147" t="s">
        <v>589</v>
      </c>
      <c r="G371" s="469" t="s">
        <v>596</v>
      </c>
      <c r="H371" s="469" t="s">
        <v>597</v>
      </c>
      <c r="I371" s="469" t="s">
        <v>598</v>
      </c>
      <c r="J371" s="470">
        <v>856310.94</v>
      </c>
      <c r="K371" s="469" t="s">
        <v>599</v>
      </c>
      <c r="L371" s="67" t="s">
        <v>589</v>
      </c>
      <c r="P371" s="43"/>
      <c r="Q371" s="43"/>
      <c r="R371" s="43"/>
      <c r="S371" s="60"/>
      <c r="T371" s="60"/>
      <c r="U371" s="43"/>
    </row>
    <row r="372" spans="1:21" ht="30" customHeight="1" x14ac:dyDescent="0.25">
      <c r="A372" s="195" t="s">
        <v>392</v>
      </c>
      <c r="B372" s="196"/>
      <c r="C372" s="196"/>
      <c r="D372" s="197"/>
      <c r="E372" s="18"/>
      <c r="F372" s="18"/>
      <c r="G372" s="471"/>
      <c r="H372" s="471"/>
      <c r="I372" s="471"/>
      <c r="J372" s="472">
        <f>SUM(J370:J371)</f>
        <v>2297328.04</v>
      </c>
      <c r="K372" s="473">
        <v>3691084.7844999703</v>
      </c>
      <c r="L372" s="67" t="s">
        <v>589</v>
      </c>
      <c r="P372" s="43"/>
      <c r="Q372" s="43"/>
      <c r="R372" s="43"/>
      <c r="S372" s="60"/>
      <c r="T372" s="60"/>
      <c r="U372" s="43"/>
    </row>
    <row r="373" spans="1:21" ht="30" customHeight="1" thickBot="1" x14ac:dyDescent="0.3">
      <c r="A373" s="204"/>
      <c r="B373" s="205"/>
      <c r="C373" s="205"/>
      <c r="D373" s="206"/>
      <c r="E373" s="18"/>
      <c r="F373" s="18"/>
      <c r="G373" s="246"/>
      <c r="H373" s="246"/>
      <c r="I373" s="246"/>
      <c r="J373" s="397" t="s">
        <v>358</v>
      </c>
      <c r="K373" s="474">
        <f>+K372/H368</f>
        <v>369.10847844999705</v>
      </c>
      <c r="L373" s="20" t="s">
        <v>7</v>
      </c>
    </row>
    <row r="374" spans="1:21" ht="30" customHeight="1" thickBot="1" x14ac:dyDescent="0.3">
      <c r="A374" s="76"/>
      <c r="B374" s="77"/>
      <c r="C374" s="77"/>
      <c r="D374" s="77"/>
      <c r="E374" s="77"/>
      <c r="F374" s="77"/>
      <c r="G374" s="77"/>
      <c r="H374" s="77"/>
      <c r="I374" s="77"/>
      <c r="J374" s="77"/>
      <c r="K374" s="77"/>
      <c r="L374" s="78"/>
    </row>
    <row r="375" spans="1:21" ht="30" customHeight="1" x14ac:dyDescent="0.25">
      <c r="A375" s="207" t="s">
        <v>288</v>
      </c>
      <c r="B375" s="208">
        <v>1362</v>
      </c>
      <c r="C375" s="209" t="s">
        <v>600</v>
      </c>
      <c r="D375" s="210"/>
      <c r="E375" s="177" t="s">
        <v>291</v>
      </c>
      <c r="F375" s="178" t="s">
        <v>11</v>
      </c>
      <c r="G375" s="465" t="s">
        <v>290</v>
      </c>
      <c r="H375" s="179">
        <v>938</v>
      </c>
      <c r="I375" s="177" t="s">
        <v>292</v>
      </c>
      <c r="J375" s="38" t="s">
        <v>400</v>
      </c>
      <c r="K375" s="39"/>
      <c r="L375" s="40"/>
      <c r="P375" s="43"/>
      <c r="Q375" s="43"/>
      <c r="R375" s="43"/>
      <c r="S375" s="60"/>
      <c r="T375" s="60"/>
      <c r="U375" s="43"/>
    </row>
    <row r="376" spans="1:21" s="49" customFormat="1" ht="30" customHeight="1" x14ac:dyDescent="0.25">
      <c r="A376" s="181" t="s">
        <v>294</v>
      </c>
      <c r="B376" s="180" t="s">
        <v>295</v>
      </c>
      <c r="C376" s="180"/>
      <c r="D376" s="180"/>
      <c r="E376" s="181" t="s">
        <v>296</v>
      </c>
      <c r="F376" s="181" t="s">
        <v>2</v>
      </c>
      <c r="G376" s="182" t="s">
        <v>297</v>
      </c>
      <c r="H376" s="182" t="s">
        <v>298</v>
      </c>
      <c r="I376" s="182" t="s">
        <v>299</v>
      </c>
      <c r="J376" s="184" t="s">
        <v>300</v>
      </c>
      <c r="K376" s="184" t="s">
        <v>301</v>
      </c>
      <c r="L376" s="185"/>
      <c r="M376" s="502"/>
      <c r="N376" s="502"/>
      <c r="O376" s="27"/>
      <c r="P376" s="50"/>
      <c r="Q376" s="50"/>
      <c r="R376" s="50"/>
      <c r="S376" s="212"/>
      <c r="T376" s="212"/>
      <c r="U376" s="50"/>
    </row>
    <row r="377" spans="1:21" ht="30" customHeight="1" x14ac:dyDescent="0.25">
      <c r="A377" s="475" t="s">
        <v>601</v>
      </c>
      <c r="B377" s="476" t="s">
        <v>602</v>
      </c>
      <c r="C377" s="477"/>
      <c r="D377" s="478"/>
      <c r="E377" s="466">
        <v>2</v>
      </c>
      <c r="F377" s="147" t="s">
        <v>11</v>
      </c>
      <c r="G377" s="469">
        <v>2092029.84</v>
      </c>
      <c r="H377" s="469">
        <v>256830.74</v>
      </c>
      <c r="I377" s="469">
        <v>6289.89</v>
      </c>
      <c r="J377" s="479">
        <v>1496837.42</v>
      </c>
      <c r="K377" s="469">
        <v>2355150.4700000002</v>
      </c>
      <c r="L377" s="67" t="s">
        <v>11</v>
      </c>
      <c r="P377" s="43"/>
      <c r="Q377" s="43"/>
      <c r="R377" s="43"/>
      <c r="S377" s="60"/>
      <c r="T377" s="60"/>
      <c r="U377" s="43"/>
    </row>
    <row r="378" spans="1:21" ht="30" customHeight="1" x14ac:dyDescent="0.25">
      <c r="A378" s="475" t="s">
        <v>603</v>
      </c>
      <c r="B378" s="476" t="s">
        <v>604</v>
      </c>
      <c r="C378" s="477"/>
      <c r="D378" s="478"/>
      <c r="E378" s="466">
        <v>2</v>
      </c>
      <c r="F378" s="147" t="s">
        <v>11</v>
      </c>
      <c r="G378" s="469">
        <v>922194.43</v>
      </c>
      <c r="H378" s="469">
        <v>494804</v>
      </c>
      <c r="I378" s="469">
        <v>23587.31</v>
      </c>
      <c r="J378" s="479">
        <v>865406.67</v>
      </c>
      <c r="K378" s="469">
        <v>1440585.74</v>
      </c>
      <c r="L378" s="67" t="s">
        <v>11</v>
      </c>
      <c r="P378" s="43"/>
      <c r="Q378" s="43"/>
      <c r="R378" s="43"/>
      <c r="S378" s="60"/>
      <c r="T378" s="60"/>
      <c r="U378" s="43"/>
    </row>
    <row r="379" spans="1:21" ht="30" customHeight="1" x14ac:dyDescent="0.25">
      <c r="A379" s="466" t="s">
        <v>605</v>
      </c>
      <c r="B379" s="214" t="s">
        <v>606</v>
      </c>
      <c r="C379" s="214"/>
      <c r="D379" s="214"/>
      <c r="E379" s="466">
        <v>2</v>
      </c>
      <c r="F379" s="147" t="s">
        <v>11</v>
      </c>
      <c r="G379" s="469">
        <v>888064.21</v>
      </c>
      <c r="H379" s="469">
        <v>140247.93</v>
      </c>
      <c r="I379" s="469">
        <v>6739.17</v>
      </c>
      <c r="J379" s="479">
        <v>653769.43000000005</v>
      </c>
      <c r="K379" s="469">
        <v>1035051.31</v>
      </c>
      <c r="L379" s="67" t="s">
        <v>11</v>
      </c>
      <c r="N379" s="1889"/>
      <c r="P379" s="43"/>
      <c r="Q379" s="43"/>
      <c r="R379" s="43"/>
      <c r="S379" s="60"/>
      <c r="T379" s="60"/>
      <c r="U379" s="43"/>
    </row>
    <row r="380" spans="1:21" ht="30" customHeight="1" x14ac:dyDescent="0.25">
      <c r="A380" s="466" t="s">
        <v>607</v>
      </c>
      <c r="B380" s="214" t="s">
        <v>608</v>
      </c>
      <c r="C380" s="214"/>
      <c r="D380" s="214"/>
      <c r="E380" s="466">
        <v>560</v>
      </c>
      <c r="F380" s="147" t="s">
        <v>11</v>
      </c>
      <c r="G380" s="469">
        <v>3417738.12</v>
      </c>
      <c r="H380" s="469">
        <v>556756.82999999996</v>
      </c>
      <c r="I380" s="469">
        <v>34594.39</v>
      </c>
      <c r="J380" s="479">
        <v>2530250.77</v>
      </c>
      <c r="K380" s="469">
        <v>4009089.34</v>
      </c>
      <c r="L380" s="67" t="s">
        <v>11</v>
      </c>
      <c r="N380" s="1889"/>
      <c r="P380" s="43"/>
      <c r="Q380" s="43"/>
      <c r="R380" s="43"/>
      <c r="S380" s="60"/>
      <c r="T380" s="60"/>
      <c r="U380" s="43"/>
    </row>
    <row r="381" spans="1:21" ht="30" customHeight="1" x14ac:dyDescent="0.25">
      <c r="A381" s="466" t="s">
        <v>609</v>
      </c>
      <c r="B381" s="214" t="s">
        <v>610</v>
      </c>
      <c r="C381" s="214"/>
      <c r="D381" s="214"/>
      <c r="E381" s="466">
        <v>280</v>
      </c>
      <c r="F381" s="147" t="s">
        <v>11</v>
      </c>
      <c r="G381" s="469">
        <v>1306752.08</v>
      </c>
      <c r="H381" s="469">
        <v>299557.40000000002</v>
      </c>
      <c r="I381" s="469">
        <v>14152.25</v>
      </c>
      <c r="J381" s="479">
        <v>1011649.06</v>
      </c>
      <c r="K381" s="469">
        <v>1620461.73</v>
      </c>
      <c r="L381" s="67" t="s">
        <v>11</v>
      </c>
      <c r="N381" s="1889"/>
      <c r="P381" s="43"/>
      <c r="Q381" s="43"/>
      <c r="R381" s="43"/>
      <c r="S381" s="60"/>
      <c r="T381" s="60"/>
      <c r="U381" s="43"/>
    </row>
    <row r="382" spans="1:21" ht="30" customHeight="1" x14ac:dyDescent="0.25">
      <c r="A382" s="466" t="s">
        <v>611</v>
      </c>
      <c r="B382" s="214" t="s">
        <v>612</v>
      </c>
      <c r="C382" s="214"/>
      <c r="D382" s="214"/>
      <c r="E382" s="466">
        <v>92</v>
      </c>
      <c r="F382" s="147" t="s">
        <v>11</v>
      </c>
      <c r="G382" s="469">
        <v>484881.96</v>
      </c>
      <c r="H382" s="469">
        <v>137573.82999999999</v>
      </c>
      <c r="I382" s="469">
        <v>6200.03</v>
      </c>
      <c r="J382" s="479">
        <v>389294.37</v>
      </c>
      <c r="K382" s="469">
        <v>628655.82999999996</v>
      </c>
      <c r="L382" s="67" t="s">
        <v>11</v>
      </c>
      <c r="N382" s="1889"/>
      <c r="P382" s="43"/>
      <c r="Q382" s="43"/>
      <c r="R382" s="43"/>
      <c r="S382" s="60"/>
      <c r="T382" s="60"/>
      <c r="U382" s="43"/>
    </row>
    <row r="383" spans="1:21" ht="30" customHeight="1" x14ac:dyDescent="0.25">
      <c r="A383" s="195" t="s">
        <v>392</v>
      </c>
      <c r="B383" s="196"/>
      <c r="C383" s="196"/>
      <c r="D383" s="197"/>
      <c r="E383" s="481">
        <f>SUM(E377:E382)</f>
        <v>938</v>
      </c>
      <c r="F383" s="147" t="s">
        <v>11</v>
      </c>
      <c r="G383" s="482" t="s">
        <v>613</v>
      </c>
      <c r="H383" s="482"/>
      <c r="I383" s="482"/>
      <c r="J383" s="472"/>
      <c r="K383" s="1973">
        <v>11088994.404797822</v>
      </c>
      <c r="L383" s="67" t="s">
        <v>11</v>
      </c>
      <c r="P383" s="43"/>
      <c r="Q383" s="43"/>
      <c r="R383" s="43"/>
      <c r="S383" s="60"/>
      <c r="T383" s="60"/>
      <c r="U383" s="43"/>
    </row>
    <row r="384" spans="1:21" ht="30" customHeight="1" thickBot="1" x14ac:dyDescent="0.3">
      <c r="A384" s="204"/>
      <c r="B384" s="205"/>
      <c r="C384" s="205"/>
      <c r="D384" s="206"/>
      <c r="E384" s="18"/>
      <c r="F384" s="18"/>
      <c r="G384" s="246"/>
      <c r="H384" s="246"/>
      <c r="I384" s="246"/>
      <c r="J384" s="483" t="s">
        <v>358</v>
      </c>
      <c r="K384" s="474">
        <f>+K383/E383</f>
        <v>11821.955655434778</v>
      </c>
      <c r="L384" s="20" t="s">
        <v>11</v>
      </c>
    </row>
    <row r="385" spans="1:21" ht="30" customHeight="1" thickBot="1" x14ac:dyDescent="0.3">
      <c r="A385" s="76"/>
      <c r="B385" s="77"/>
      <c r="C385" s="77"/>
      <c r="D385" s="77"/>
      <c r="E385" s="77"/>
      <c r="F385" s="77"/>
      <c r="G385" s="77"/>
      <c r="H385" s="77"/>
      <c r="I385" s="77"/>
      <c r="J385" s="77"/>
      <c r="K385" s="77"/>
      <c r="L385" s="78"/>
    </row>
    <row r="386" spans="1:21" ht="30" customHeight="1" x14ac:dyDescent="0.25">
      <c r="A386" s="30" t="s">
        <v>288</v>
      </c>
      <c r="B386" s="31">
        <v>1371</v>
      </c>
      <c r="C386" s="484" t="s">
        <v>614</v>
      </c>
      <c r="D386" s="485"/>
      <c r="E386" s="177" t="s">
        <v>291</v>
      </c>
      <c r="F386" s="178" t="s">
        <v>9</v>
      </c>
      <c r="G386" s="123" t="s">
        <v>375</v>
      </c>
      <c r="H386" s="302">
        <v>13113</v>
      </c>
      <c r="I386" s="177" t="s">
        <v>292</v>
      </c>
      <c r="J386" s="38" t="s">
        <v>516</v>
      </c>
      <c r="K386" s="39"/>
      <c r="L386" s="40"/>
      <c r="M386" s="486"/>
      <c r="P386" s="43"/>
      <c r="Q386" s="43"/>
      <c r="R386" s="43"/>
      <c r="S386" s="60"/>
      <c r="T386" s="60"/>
      <c r="U386" s="43"/>
    </row>
    <row r="387" spans="1:21" s="49" customFormat="1" ht="30" customHeight="1" x14ac:dyDescent="0.25">
      <c r="A387" s="44" t="s">
        <v>517</v>
      </c>
      <c r="B387" s="45" t="s">
        <v>295</v>
      </c>
      <c r="C387" s="45"/>
      <c r="D387" s="45"/>
      <c r="E387" s="182" t="s">
        <v>518</v>
      </c>
      <c r="F387" s="285" t="s">
        <v>519</v>
      </c>
      <c r="G387" s="181"/>
      <c r="H387" s="181"/>
      <c r="I387" s="286" t="s">
        <v>520</v>
      </c>
      <c r="J387" s="287"/>
      <c r="K387" s="288" t="s">
        <v>521</v>
      </c>
      <c r="L387" s="289"/>
      <c r="M387" s="502"/>
      <c r="N387" s="502"/>
      <c r="O387" s="27"/>
      <c r="P387" s="50"/>
      <c r="Q387" s="50"/>
      <c r="R387" s="50"/>
      <c r="S387" s="212"/>
      <c r="T387" s="212"/>
      <c r="U387" s="50"/>
    </row>
    <row r="388" spans="1:21" s="41" customFormat="1" ht="30" customHeight="1" x14ac:dyDescent="0.25">
      <c r="A388" s="65" t="s">
        <v>522</v>
      </c>
      <c r="B388" s="52" t="s">
        <v>523</v>
      </c>
      <c r="C388" s="52"/>
      <c r="D388" s="52"/>
      <c r="E388" s="291">
        <v>34000</v>
      </c>
      <c r="F388" s="292">
        <v>360</v>
      </c>
      <c r="G388" s="293"/>
      <c r="H388" s="294"/>
      <c r="I388" s="295" t="s">
        <v>615</v>
      </c>
      <c r="J388" s="296"/>
      <c r="K388" s="292">
        <v>360</v>
      </c>
      <c r="L388" s="290" t="s">
        <v>9</v>
      </c>
      <c r="M388" s="341"/>
      <c r="N388" s="342"/>
      <c r="O388" s="42"/>
    </row>
    <row r="389" spans="1:21" ht="30" customHeight="1" thickBot="1" x14ac:dyDescent="0.3">
      <c r="A389" s="61"/>
      <c r="B389" s="192"/>
      <c r="C389" s="192"/>
      <c r="D389" s="192"/>
      <c r="E389" s="297"/>
      <c r="F389" s="298"/>
      <c r="G389" s="298"/>
      <c r="H389" s="299"/>
      <c r="I389" s="18"/>
      <c r="J389" s="300" t="s">
        <v>358</v>
      </c>
      <c r="K389" s="301">
        <f>+K388</f>
        <v>360</v>
      </c>
      <c r="L389" s="20" t="s">
        <v>9</v>
      </c>
    </row>
    <row r="390" spans="1:21" ht="30" customHeight="1" thickBot="1" x14ac:dyDescent="0.3">
      <c r="A390" s="76"/>
      <c r="B390" s="77"/>
      <c r="C390" s="77"/>
      <c r="D390" s="77"/>
      <c r="E390" s="77"/>
      <c r="F390" s="77"/>
      <c r="G390" s="77"/>
      <c r="H390" s="77"/>
      <c r="I390" s="77"/>
      <c r="J390" s="77"/>
      <c r="K390" s="77"/>
      <c r="L390" s="78"/>
      <c r="M390" s="43"/>
    </row>
    <row r="391" spans="1:21" ht="30" customHeight="1" x14ac:dyDescent="0.25">
      <c r="A391" s="30" t="s">
        <v>288</v>
      </c>
      <c r="B391" s="31">
        <v>1381</v>
      </c>
      <c r="C391" s="32" t="s">
        <v>616</v>
      </c>
      <c r="D391" s="33"/>
      <c r="E391" s="36" t="s">
        <v>291</v>
      </c>
      <c r="F391" s="37" t="s">
        <v>11</v>
      </c>
      <c r="G391" s="487"/>
      <c r="H391" s="487"/>
      <c r="I391" s="36" t="s">
        <v>292</v>
      </c>
      <c r="J391" s="488" t="s">
        <v>617</v>
      </c>
      <c r="K391" s="488"/>
      <c r="L391" s="489"/>
      <c r="O391" s="390"/>
      <c r="P391" s="391"/>
      <c r="T391" s="393"/>
    </row>
    <row r="392" spans="1:21" s="49" customFormat="1" ht="30" customHeight="1" x14ac:dyDescent="0.25">
      <c r="A392" s="48" t="s">
        <v>529</v>
      </c>
      <c r="B392" s="490" t="s">
        <v>560</v>
      </c>
      <c r="C392" s="491"/>
      <c r="D392" s="492"/>
      <c r="E392" s="397" t="s">
        <v>519</v>
      </c>
      <c r="F392" s="397" t="s">
        <v>561</v>
      </c>
      <c r="G392" s="493" t="s">
        <v>562</v>
      </c>
      <c r="H392" s="494"/>
      <c r="I392" s="400" t="s">
        <v>530</v>
      </c>
      <c r="J392" s="400"/>
      <c r="K392" s="288" t="s">
        <v>521</v>
      </c>
      <c r="L392" s="289"/>
      <c r="M392" s="502"/>
      <c r="N392" s="502"/>
      <c r="O392" s="401"/>
      <c r="P392" s="391"/>
      <c r="T392" s="393"/>
    </row>
    <row r="393" spans="1:21" ht="30" customHeight="1" x14ac:dyDescent="0.25">
      <c r="A393" s="65" t="s">
        <v>531</v>
      </c>
      <c r="B393" s="495" t="s">
        <v>618</v>
      </c>
      <c r="C393" s="495"/>
      <c r="D393" s="495"/>
      <c r="E393" s="496">
        <f>+(14500+23300)/2</f>
        <v>18900</v>
      </c>
      <c r="F393" s="290" t="s">
        <v>11</v>
      </c>
      <c r="G393" s="290"/>
      <c r="H393" s="290"/>
      <c r="I393" s="497">
        <v>1.03</v>
      </c>
      <c r="J393" s="290"/>
      <c r="K393" s="496">
        <f>+E393*I393</f>
        <v>19467</v>
      </c>
      <c r="L393" s="290" t="s">
        <v>11</v>
      </c>
      <c r="O393" s="390"/>
      <c r="P393" s="391"/>
      <c r="T393" s="393"/>
    </row>
    <row r="394" spans="1:21" ht="30" customHeight="1" x14ac:dyDescent="0.25">
      <c r="A394" s="61"/>
      <c r="B394" s="498"/>
      <c r="C394" s="498"/>
      <c r="D394" s="498"/>
      <c r="E394" s="405"/>
      <c r="F394" s="338" t="s">
        <v>533</v>
      </c>
      <c r="G394" s="339" t="s">
        <v>534</v>
      </c>
      <c r="H394" s="339"/>
      <c r="I394" s="339"/>
      <c r="J394" s="339"/>
      <c r="K394" s="340">
        <v>1.07</v>
      </c>
      <c r="L394" s="20"/>
      <c r="O394" s="390"/>
      <c r="P394" s="391"/>
      <c r="T394" s="393"/>
    </row>
    <row r="395" spans="1:21" ht="30" customHeight="1" x14ac:dyDescent="0.25">
      <c r="A395" s="61"/>
      <c r="B395" s="498"/>
      <c r="C395" s="498"/>
      <c r="D395" s="498"/>
      <c r="E395" s="405"/>
      <c r="F395" s="343"/>
      <c r="G395" s="344" t="s">
        <v>535</v>
      </c>
      <c r="H395" s="344"/>
      <c r="I395" s="344"/>
      <c r="J395" s="344"/>
      <c r="K395" s="340">
        <v>1.02</v>
      </c>
      <c r="L395" s="20"/>
      <c r="O395" s="390"/>
      <c r="P395" s="391"/>
      <c r="T395" s="393"/>
    </row>
    <row r="396" spans="1:21" ht="30" customHeight="1" x14ac:dyDescent="0.25">
      <c r="A396" s="61"/>
      <c r="B396" s="61"/>
      <c r="C396" s="63"/>
      <c r="D396" s="63"/>
      <c r="E396" s="18"/>
      <c r="F396" s="18"/>
      <c r="G396" s="18"/>
      <c r="H396" s="18"/>
      <c r="I396" s="18"/>
      <c r="J396" s="18" t="s">
        <v>358</v>
      </c>
      <c r="K396" s="23">
        <f>+K393*K394/K395</f>
        <v>20421.264705882353</v>
      </c>
      <c r="L396" s="20" t="s">
        <v>11</v>
      </c>
      <c r="O396" s="390"/>
      <c r="P396" s="391"/>
      <c r="T396" s="393"/>
    </row>
    <row r="397" spans="1:21" ht="30" customHeight="1" thickBot="1" x14ac:dyDescent="0.3">
      <c r="A397" s="499"/>
      <c r="B397" s="499"/>
      <c r="C397" s="500"/>
      <c r="D397" s="500"/>
      <c r="E397" s="501"/>
      <c r="F397" s="501"/>
      <c r="G397" s="413" t="s">
        <v>537</v>
      </c>
      <c r="H397" s="501"/>
      <c r="I397" s="501"/>
      <c r="J397" s="361">
        <f>VLOOKUP(B391,'Mil Cost Premiums for RUCs'!$A$4:$R$265,18,FALSE)</f>
        <v>1.0209999999999999</v>
      </c>
      <c r="K397" s="23">
        <f>+K396*J397</f>
        <v>20850.11126470588</v>
      </c>
      <c r="L397" s="20" t="s">
        <v>11</v>
      </c>
      <c r="O397" s="390"/>
      <c r="P397" s="391"/>
      <c r="T397" s="393"/>
    </row>
    <row r="398" spans="1:21" ht="30" customHeight="1" thickBot="1" x14ac:dyDescent="0.3">
      <c r="A398" s="76"/>
      <c r="B398" s="77"/>
      <c r="C398" s="77"/>
      <c r="D398" s="77"/>
      <c r="E398" s="77"/>
      <c r="F398" s="77"/>
      <c r="G398" s="77"/>
      <c r="H398" s="77"/>
      <c r="I398" s="77"/>
      <c r="J398" s="77"/>
      <c r="K398" s="77"/>
      <c r="L398" s="78"/>
      <c r="M398" s="419"/>
      <c r="N398" s="420"/>
      <c r="O398"/>
      <c r="P398" s="392"/>
      <c r="Q398" s="57"/>
      <c r="R398" s="393"/>
    </row>
    <row r="399" spans="1:21" ht="30" customHeight="1" x14ac:dyDescent="0.25">
      <c r="A399" s="207" t="s">
        <v>288</v>
      </c>
      <c r="B399" s="208">
        <v>1402</v>
      </c>
      <c r="C399" s="282" t="s">
        <v>619</v>
      </c>
      <c r="D399" s="283"/>
      <c r="E399" s="177" t="s">
        <v>291</v>
      </c>
      <c r="F399" s="178" t="s">
        <v>9</v>
      </c>
      <c r="G399" s="123" t="s">
        <v>375</v>
      </c>
      <c r="H399" s="302">
        <v>11566</v>
      </c>
      <c r="I399" s="177" t="s">
        <v>292</v>
      </c>
      <c r="J399" s="38" t="s">
        <v>516</v>
      </c>
      <c r="K399" s="39"/>
      <c r="L399" s="40"/>
      <c r="P399" s="43"/>
      <c r="Q399" s="43"/>
      <c r="R399" s="43"/>
      <c r="S399" s="60"/>
      <c r="T399" s="60"/>
      <c r="U399" s="43"/>
    </row>
    <row r="400" spans="1:21" s="49" customFormat="1" ht="30" customHeight="1" x14ac:dyDescent="0.25">
      <c r="A400" s="181" t="s">
        <v>517</v>
      </c>
      <c r="B400" s="180" t="s">
        <v>295</v>
      </c>
      <c r="C400" s="180"/>
      <c r="D400" s="180"/>
      <c r="E400" s="182" t="s">
        <v>518</v>
      </c>
      <c r="F400" s="285" t="s">
        <v>519</v>
      </c>
      <c r="G400" s="181"/>
      <c r="H400" s="181"/>
      <c r="I400" s="286" t="s">
        <v>520</v>
      </c>
      <c r="J400" s="287"/>
      <c r="K400" s="288" t="s">
        <v>521</v>
      </c>
      <c r="L400" s="289"/>
      <c r="M400" s="502"/>
      <c r="N400" s="502"/>
      <c r="O400" s="27"/>
      <c r="P400" s="50"/>
      <c r="Q400" s="50"/>
      <c r="R400" s="50"/>
      <c r="S400" s="212"/>
      <c r="T400" s="212"/>
      <c r="U400" s="50"/>
    </row>
    <row r="401" spans="1:21" s="41" customFormat="1" ht="30" customHeight="1" x14ac:dyDescent="0.25">
      <c r="A401" s="290" t="s">
        <v>522</v>
      </c>
      <c r="B401" s="214" t="s">
        <v>620</v>
      </c>
      <c r="C401" s="214"/>
      <c r="D401" s="214"/>
      <c r="E401" s="291">
        <v>49000</v>
      </c>
      <c r="F401" s="292">
        <v>242</v>
      </c>
      <c r="G401" s="293"/>
      <c r="H401" s="294"/>
      <c r="I401" s="295" t="s">
        <v>524</v>
      </c>
      <c r="J401" s="296"/>
      <c r="K401" s="292">
        <v>242</v>
      </c>
      <c r="L401" s="290" t="s">
        <v>9</v>
      </c>
      <c r="M401" s="380"/>
      <c r="N401" s="1273"/>
      <c r="O401" s="42"/>
    </row>
    <row r="402" spans="1:21" ht="30" customHeight="1" thickBot="1" x14ac:dyDescent="0.3">
      <c r="A402" s="20"/>
      <c r="B402" s="402"/>
      <c r="C402" s="403"/>
      <c r="D402" s="404"/>
      <c r="E402" s="297"/>
      <c r="F402" s="298"/>
      <c r="G402" s="298"/>
      <c r="H402" s="299"/>
      <c r="I402" s="18"/>
      <c r="J402" s="116" t="s">
        <v>358</v>
      </c>
      <c r="K402" s="301">
        <f>+K401</f>
        <v>242</v>
      </c>
      <c r="L402" s="20" t="s">
        <v>9</v>
      </c>
    </row>
    <row r="403" spans="1:21" ht="30" customHeight="1" thickBot="1" x14ac:dyDescent="0.3">
      <c r="A403" s="76"/>
      <c r="B403" s="77"/>
      <c r="C403" s="77"/>
      <c r="D403" s="77"/>
      <c r="E403" s="77"/>
      <c r="F403" s="77"/>
      <c r="G403" s="77"/>
      <c r="H403" s="77"/>
      <c r="I403" s="77"/>
      <c r="J403" s="77"/>
      <c r="K403" s="77"/>
      <c r="L403" s="78"/>
      <c r="M403" s="43"/>
    </row>
    <row r="404" spans="1:21" ht="30" customHeight="1" x14ac:dyDescent="0.25">
      <c r="A404" s="207" t="s">
        <v>288</v>
      </c>
      <c r="B404" s="208">
        <v>1403</v>
      </c>
      <c r="C404" s="282" t="s">
        <v>621</v>
      </c>
      <c r="D404" s="283"/>
      <c r="E404" s="177" t="s">
        <v>291</v>
      </c>
      <c r="F404" s="178" t="s">
        <v>9</v>
      </c>
      <c r="G404" s="123" t="s">
        <v>375</v>
      </c>
      <c r="H404" s="302">
        <v>5879</v>
      </c>
      <c r="I404" s="177" t="s">
        <v>292</v>
      </c>
      <c r="J404" s="38" t="s">
        <v>516</v>
      </c>
      <c r="K404" s="39"/>
      <c r="L404" s="40"/>
      <c r="M404" s="486"/>
      <c r="P404" s="43"/>
      <c r="Q404" s="43"/>
      <c r="R404" s="43"/>
      <c r="S404" s="60"/>
      <c r="T404" s="60"/>
      <c r="U404" s="43"/>
    </row>
    <row r="405" spans="1:21" s="49" customFormat="1" ht="30" customHeight="1" x14ac:dyDescent="0.25">
      <c r="A405" s="181" t="s">
        <v>517</v>
      </c>
      <c r="B405" s="180" t="s">
        <v>295</v>
      </c>
      <c r="C405" s="180"/>
      <c r="D405" s="180"/>
      <c r="E405" s="182" t="s">
        <v>518</v>
      </c>
      <c r="F405" s="285" t="s">
        <v>519</v>
      </c>
      <c r="G405" s="181"/>
      <c r="H405" s="181"/>
      <c r="I405" s="286" t="s">
        <v>520</v>
      </c>
      <c r="J405" s="287"/>
      <c r="K405" s="288" t="s">
        <v>521</v>
      </c>
      <c r="L405" s="289"/>
      <c r="M405" s="502"/>
      <c r="N405" s="502"/>
      <c r="O405" s="27"/>
      <c r="P405" s="50"/>
      <c r="Q405" s="50"/>
      <c r="R405" s="50"/>
      <c r="S405" s="212"/>
      <c r="T405" s="212"/>
      <c r="U405" s="50"/>
    </row>
    <row r="406" spans="1:21" s="41" customFormat="1" ht="30" customHeight="1" x14ac:dyDescent="0.25">
      <c r="A406" s="290" t="s">
        <v>522</v>
      </c>
      <c r="B406" s="214" t="s">
        <v>523</v>
      </c>
      <c r="C406" s="214"/>
      <c r="D406" s="214"/>
      <c r="E406" s="291">
        <v>34000</v>
      </c>
      <c r="F406" s="292">
        <v>360</v>
      </c>
      <c r="G406" s="293"/>
      <c r="H406" s="294"/>
      <c r="I406" s="295" t="s">
        <v>524</v>
      </c>
      <c r="J406" s="296"/>
      <c r="K406" s="292">
        <f>+F406</f>
        <v>360</v>
      </c>
      <c r="L406" s="290" t="s">
        <v>9</v>
      </c>
      <c r="M406" s="341"/>
      <c r="N406" s="342"/>
      <c r="O406" s="42"/>
    </row>
    <row r="407" spans="1:21" ht="30" customHeight="1" thickBot="1" x14ac:dyDescent="0.3">
      <c r="A407" s="20"/>
      <c r="B407" s="191"/>
      <c r="C407" s="191"/>
      <c r="D407" s="191"/>
      <c r="E407" s="297"/>
      <c r="F407" s="298"/>
      <c r="G407" s="298"/>
      <c r="H407" s="299"/>
      <c r="I407" s="18"/>
      <c r="J407" s="185" t="s">
        <v>358</v>
      </c>
      <c r="K407" s="301">
        <f>+K406</f>
        <v>360</v>
      </c>
      <c r="L407" s="20" t="s">
        <v>9</v>
      </c>
    </row>
    <row r="408" spans="1:21" ht="30" customHeight="1" thickBot="1" x14ac:dyDescent="0.3">
      <c r="A408" s="76"/>
      <c r="B408" s="77"/>
      <c r="C408" s="77"/>
      <c r="D408" s="77"/>
      <c r="E408" s="77"/>
      <c r="F408" s="77"/>
      <c r="G408" s="77"/>
      <c r="H408" s="77"/>
      <c r="I408" s="77"/>
      <c r="J408" s="77"/>
      <c r="K408" s="77"/>
      <c r="L408" s="78"/>
      <c r="M408" s="43"/>
    </row>
    <row r="409" spans="1:21" ht="30" customHeight="1" x14ac:dyDescent="0.25">
      <c r="A409" s="207" t="s">
        <v>288</v>
      </c>
      <c r="B409" s="208">
        <v>1404</v>
      </c>
      <c r="C409" s="282" t="s">
        <v>622</v>
      </c>
      <c r="D409" s="283"/>
      <c r="E409" s="177" t="s">
        <v>291</v>
      </c>
      <c r="F409" s="178" t="s">
        <v>9</v>
      </c>
      <c r="G409" s="123" t="s">
        <v>375</v>
      </c>
      <c r="H409" s="302">
        <v>22387</v>
      </c>
      <c r="I409" s="177" t="s">
        <v>292</v>
      </c>
      <c r="J409" s="38" t="s">
        <v>623</v>
      </c>
      <c r="K409" s="39"/>
      <c r="L409" s="40"/>
      <c r="P409" s="43"/>
      <c r="Q409" s="43"/>
      <c r="R409" s="43"/>
      <c r="S409" s="60"/>
      <c r="T409" s="60"/>
      <c r="U409" s="43"/>
    </row>
    <row r="410" spans="1:21" s="49" customFormat="1" ht="30" customHeight="1" x14ac:dyDescent="0.25">
      <c r="A410" s="181" t="s">
        <v>517</v>
      </c>
      <c r="B410" s="180" t="s">
        <v>295</v>
      </c>
      <c r="C410" s="180"/>
      <c r="D410" s="180"/>
      <c r="E410" s="182" t="s">
        <v>518</v>
      </c>
      <c r="F410" s="285" t="s">
        <v>519</v>
      </c>
      <c r="G410" s="181"/>
      <c r="H410" s="181"/>
      <c r="I410" s="286" t="s">
        <v>520</v>
      </c>
      <c r="J410" s="287"/>
      <c r="K410" s="288" t="s">
        <v>521</v>
      </c>
      <c r="L410" s="289"/>
      <c r="M410" s="502"/>
      <c r="N410" s="502"/>
      <c r="O410" s="27"/>
      <c r="P410" s="50"/>
      <c r="Q410" s="50"/>
      <c r="R410" s="50"/>
      <c r="S410" s="212"/>
      <c r="T410" s="212"/>
      <c r="U410" s="50"/>
    </row>
    <row r="411" spans="1:21" s="41" customFormat="1" ht="30" customHeight="1" x14ac:dyDescent="0.25">
      <c r="A411" s="290">
        <v>14162</v>
      </c>
      <c r="B411" s="214" t="s">
        <v>622</v>
      </c>
      <c r="C411" s="214"/>
      <c r="D411" s="214"/>
      <c r="E411" s="291">
        <v>4100</v>
      </c>
      <c r="F411" s="303">
        <v>605</v>
      </c>
      <c r="G411" s="293"/>
      <c r="H411" s="294"/>
      <c r="I411" s="295">
        <f>+'MILCON Inflation Table'!F17</f>
        <v>0.9432470865927236</v>
      </c>
      <c r="J411" s="296"/>
      <c r="K411" s="304">
        <f>+F411*I411</f>
        <v>570.66448738859776</v>
      </c>
      <c r="L411" s="290" t="s">
        <v>9</v>
      </c>
      <c r="M411" s="1881"/>
      <c r="N411" s="1270"/>
      <c r="O411" s="42"/>
    </row>
    <row r="412" spans="1:21" ht="30" customHeight="1" thickBot="1" x14ac:dyDescent="0.3">
      <c r="A412" s="503"/>
      <c r="B412" s="504"/>
      <c r="C412" s="504"/>
      <c r="D412" s="505"/>
      <c r="E412" s="297"/>
      <c r="F412" s="298"/>
      <c r="G412" s="298"/>
      <c r="H412" s="299"/>
      <c r="I412" s="18"/>
      <c r="J412" s="185" t="s">
        <v>358</v>
      </c>
      <c r="K412" s="305">
        <f>+K411</f>
        <v>570.66448738859776</v>
      </c>
      <c r="L412" s="20" t="s">
        <v>9</v>
      </c>
    </row>
    <row r="413" spans="1:21" ht="30" customHeight="1" thickBot="1" x14ac:dyDescent="0.3">
      <c r="A413" s="76"/>
      <c r="B413" s="77"/>
      <c r="C413" s="77"/>
      <c r="D413" s="77"/>
      <c r="E413" s="77"/>
      <c r="F413" s="77"/>
      <c r="G413" s="77"/>
      <c r="H413" s="77"/>
      <c r="I413" s="77"/>
      <c r="J413" s="77"/>
      <c r="K413" s="77"/>
      <c r="L413" s="78"/>
    </row>
    <row r="414" spans="1:21" ht="30" customHeight="1" x14ac:dyDescent="0.25">
      <c r="A414" s="207" t="s">
        <v>288</v>
      </c>
      <c r="B414" s="208">
        <v>1411</v>
      </c>
      <c r="C414" s="282" t="s">
        <v>624</v>
      </c>
      <c r="D414" s="283"/>
      <c r="E414" s="177" t="s">
        <v>291</v>
      </c>
      <c r="F414" s="178" t="s">
        <v>9</v>
      </c>
      <c r="G414" s="123" t="s">
        <v>375</v>
      </c>
      <c r="H414" s="302">
        <v>8980</v>
      </c>
      <c r="I414" s="177" t="s">
        <v>292</v>
      </c>
      <c r="J414" s="38" t="s">
        <v>516</v>
      </c>
      <c r="K414" s="39"/>
      <c r="L414" s="40"/>
      <c r="M414" s="1950"/>
      <c r="N414" s="1958"/>
      <c r="P414" s="43"/>
      <c r="Q414" s="43"/>
      <c r="R414" s="43"/>
      <c r="S414" s="60"/>
      <c r="T414" s="60"/>
      <c r="U414" s="43"/>
    </row>
    <row r="415" spans="1:21" s="49" customFormat="1" ht="30" customHeight="1" x14ac:dyDescent="0.25">
      <c r="A415" s="181" t="s">
        <v>517</v>
      </c>
      <c r="B415" s="180" t="s">
        <v>295</v>
      </c>
      <c r="C415" s="180"/>
      <c r="D415" s="180"/>
      <c r="E415" s="182" t="s">
        <v>518</v>
      </c>
      <c r="F415" s="285" t="s">
        <v>519</v>
      </c>
      <c r="G415" s="181"/>
      <c r="H415" s="181"/>
      <c r="I415" s="286" t="s">
        <v>520</v>
      </c>
      <c r="J415" s="287"/>
      <c r="K415" s="288" t="s">
        <v>521</v>
      </c>
      <c r="L415" s="289"/>
      <c r="M415" s="502"/>
      <c r="N415" s="502"/>
      <c r="O415" s="27"/>
      <c r="P415" s="50"/>
      <c r="Q415" s="50"/>
      <c r="R415" s="50"/>
      <c r="S415" s="212"/>
      <c r="T415" s="212"/>
      <c r="U415" s="50"/>
    </row>
    <row r="416" spans="1:21" s="41" customFormat="1" ht="30" customHeight="1" x14ac:dyDescent="0.25">
      <c r="A416" s="290" t="s">
        <v>522</v>
      </c>
      <c r="B416" s="214" t="s">
        <v>624</v>
      </c>
      <c r="C416" s="214"/>
      <c r="D416" s="214"/>
      <c r="E416" s="291">
        <v>32000</v>
      </c>
      <c r="F416" s="292">
        <v>305</v>
      </c>
      <c r="G416" s="293"/>
      <c r="H416" s="294">
        <v>11235</v>
      </c>
      <c r="I416" s="295" t="s">
        <v>524</v>
      </c>
      <c r="J416" s="296"/>
      <c r="K416" s="292">
        <f>+F416</f>
        <v>305</v>
      </c>
      <c r="L416" s="290" t="s">
        <v>9</v>
      </c>
      <c r="M416" s="341"/>
      <c r="N416" s="342"/>
      <c r="O416" s="42"/>
    </row>
    <row r="417" spans="1:21" ht="30" customHeight="1" thickBot="1" x14ac:dyDescent="0.3">
      <c r="A417" s="20"/>
      <c r="B417" s="191"/>
      <c r="C417" s="191"/>
      <c r="D417" s="191"/>
      <c r="E417" s="297"/>
      <c r="F417" s="298"/>
      <c r="G417" s="298"/>
      <c r="H417" s="299"/>
      <c r="I417" s="18"/>
      <c r="J417" s="185" t="s">
        <v>358</v>
      </c>
      <c r="K417" s="301">
        <f>+K416</f>
        <v>305</v>
      </c>
      <c r="L417" s="20" t="s">
        <v>9</v>
      </c>
    </row>
    <row r="418" spans="1:21" ht="30" customHeight="1" thickBot="1" x14ac:dyDescent="0.3">
      <c r="A418" s="76"/>
      <c r="B418" s="77"/>
      <c r="C418" s="77"/>
      <c r="D418" s="77"/>
      <c r="E418" s="77"/>
      <c r="F418" s="77"/>
      <c r="G418" s="77"/>
      <c r="H418" s="77"/>
      <c r="I418" s="77"/>
      <c r="J418" s="77"/>
      <c r="K418" s="77"/>
      <c r="L418" s="78"/>
      <c r="M418" s="43"/>
    </row>
    <row r="419" spans="1:21" ht="30" customHeight="1" x14ac:dyDescent="0.25">
      <c r="A419" s="207" t="s">
        <v>288</v>
      </c>
      <c r="B419" s="208">
        <v>1412</v>
      </c>
      <c r="C419" s="282" t="s">
        <v>625</v>
      </c>
      <c r="D419" s="283"/>
      <c r="E419" s="177" t="s">
        <v>291</v>
      </c>
      <c r="F419" s="178" t="s">
        <v>9</v>
      </c>
      <c r="G419" s="123" t="s">
        <v>375</v>
      </c>
      <c r="H419" s="302">
        <v>11235</v>
      </c>
      <c r="I419" s="177" t="s">
        <v>292</v>
      </c>
      <c r="J419" s="38" t="s">
        <v>516</v>
      </c>
      <c r="K419" s="39"/>
      <c r="L419" s="40"/>
      <c r="P419" s="43"/>
      <c r="Q419" s="43"/>
      <c r="R419" s="43"/>
      <c r="S419" s="60"/>
      <c r="T419" s="60"/>
      <c r="U419" s="43"/>
    </row>
    <row r="420" spans="1:21" s="49" customFormat="1" ht="30" customHeight="1" x14ac:dyDescent="0.25">
      <c r="A420" s="181" t="s">
        <v>517</v>
      </c>
      <c r="B420" s="180" t="s">
        <v>295</v>
      </c>
      <c r="C420" s="180"/>
      <c r="D420" s="180"/>
      <c r="E420" s="182" t="s">
        <v>518</v>
      </c>
      <c r="F420" s="285" t="s">
        <v>519</v>
      </c>
      <c r="G420" s="181"/>
      <c r="H420" s="181"/>
      <c r="I420" s="286" t="s">
        <v>520</v>
      </c>
      <c r="J420" s="287"/>
      <c r="K420" s="288" t="s">
        <v>521</v>
      </c>
      <c r="L420" s="289"/>
      <c r="M420" s="502"/>
      <c r="N420" s="502"/>
      <c r="O420" s="27"/>
      <c r="P420" s="50"/>
      <c r="Q420" s="50"/>
      <c r="R420" s="50"/>
      <c r="S420" s="212"/>
      <c r="T420" s="212"/>
      <c r="U420" s="50"/>
    </row>
    <row r="421" spans="1:21" s="41" customFormat="1" ht="30" customHeight="1" x14ac:dyDescent="0.25">
      <c r="A421" s="290" t="s">
        <v>522</v>
      </c>
      <c r="B421" s="214" t="s">
        <v>620</v>
      </c>
      <c r="C421" s="214"/>
      <c r="D421" s="214"/>
      <c r="E421" s="291">
        <v>49000</v>
      </c>
      <c r="F421" s="292">
        <v>242</v>
      </c>
      <c r="G421" s="293"/>
      <c r="H421" s="294"/>
      <c r="I421" s="295" t="s">
        <v>524</v>
      </c>
      <c r="J421" s="296"/>
      <c r="K421" s="292">
        <f>+F421</f>
        <v>242</v>
      </c>
      <c r="L421" s="290" t="s">
        <v>9</v>
      </c>
      <c r="M421" s="506"/>
      <c r="N421" s="342"/>
      <c r="O421" s="42"/>
    </row>
    <row r="422" spans="1:21" ht="30" customHeight="1" thickBot="1" x14ac:dyDescent="0.3">
      <c r="A422" s="20"/>
      <c r="B422" s="191"/>
      <c r="C422" s="191"/>
      <c r="D422" s="191"/>
      <c r="E422" s="297"/>
      <c r="F422" s="298"/>
      <c r="G422" s="298"/>
      <c r="H422" s="299"/>
      <c r="I422" s="18"/>
      <c r="J422" s="185" t="s">
        <v>358</v>
      </c>
      <c r="K422" s="301">
        <f>+K421</f>
        <v>242</v>
      </c>
      <c r="L422" s="20" t="s">
        <v>9</v>
      </c>
    </row>
    <row r="423" spans="1:21" ht="30" customHeight="1" thickBot="1" x14ac:dyDescent="0.3">
      <c r="A423" s="76"/>
      <c r="B423" s="77"/>
      <c r="C423" s="77"/>
      <c r="D423" s="77"/>
      <c r="E423" s="77"/>
      <c r="F423" s="77"/>
      <c r="G423" s="77"/>
      <c r="H423" s="77"/>
      <c r="I423" s="77"/>
      <c r="J423" s="77"/>
      <c r="K423" s="77"/>
      <c r="L423" s="78"/>
      <c r="M423" s="43"/>
    </row>
    <row r="424" spans="1:21" ht="30" customHeight="1" x14ac:dyDescent="0.25">
      <c r="A424" s="207" t="s">
        <v>288</v>
      </c>
      <c r="B424" s="208">
        <v>1413</v>
      </c>
      <c r="C424" s="282" t="s">
        <v>626</v>
      </c>
      <c r="D424" s="283"/>
      <c r="E424" s="177" t="s">
        <v>291</v>
      </c>
      <c r="F424" s="178" t="s">
        <v>9</v>
      </c>
      <c r="G424" s="123" t="s">
        <v>375</v>
      </c>
      <c r="H424" s="302">
        <v>3900</v>
      </c>
      <c r="I424" s="177" t="s">
        <v>292</v>
      </c>
      <c r="J424" s="38" t="s">
        <v>526</v>
      </c>
      <c r="K424" s="39"/>
      <c r="L424" s="40"/>
      <c r="M424" s="1932"/>
      <c r="N424" s="213"/>
      <c r="P424" s="43"/>
      <c r="Q424" s="43"/>
      <c r="R424" s="43"/>
      <c r="S424" s="60"/>
      <c r="T424" s="60"/>
      <c r="U424" s="43"/>
    </row>
    <row r="425" spans="1:21" s="49" customFormat="1" ht="30" customHeight="1" x14ac:dyDescent="0.25">
      <c r="A425" s="181" t="s">
        <v>517</v>
      </c>
      <c r="B425" s="180" t="s">
        <v>295</v>
      </c>
      <c r="C425" s="180"/>
      <c r="D425" s="180"/>
      <c r="E425" s="182" t="s">
        <v>518</v>
      </c>
      <c r="F425" s="285" t="s">
        <v>519</v>
      </c>
      <c r="G425" s="181"/>
      <c r="H425" s="181"/>
      <c r="I425" s="286" t="s">
        <v>520</v>
      </c>
      <c r="J425" s="287"/>
      <c r="K425" s="507" t="s">
        <v>521</v>
      </c>
      <c r="L425" s="508"/>
      <c r="M425" s="502"/>
      <c r="N425" s="502"/>
      <c r="O425" s="27"/>
      <c r="P425" s="50"/>
      <c r="Q425" s="50"/>
      <c r="R425" s="50"/>
      <c r="S425" s="212"/>
      <c r="T425" s="212"/>
      <c r="U425" s="50"/>
    </row>
    <row r="426" spans="1:21" s="41" customFormat="1" ht="30" customHeight="1" x14ac:dyDescent="0.25">
      <c r="A426" s="290">
        <v>13310</v>
      </c>
      <c r="B426" s="214" t="s">
        <v>627</v>
      </c>
      <c r="C426" s="214"/>
      <c r="D426" s="214"/>
      <c r="E426" s="291">
        <v>7600</v>
      </c>
      <c r="F426" s="303">
        <v>771</v>
      </c>
      <c r="G426" s="293"/>
      <c r="H426" s="294"/>
      <c r="I426" s="295">
        <f>+'MILCON Inflation Table'!F15</f>
        <v>0.9813542688910698</v>
      </c>
      <c r="J426" s="296"/>
      <c r="K426" s="304">
        <f>+F426*I426</f>
        <v>756.62414131501487</v>
      </c>
      <c r="L426" s="290" t="s">
        <v>9</v>
      </c>
      <c r="M426" s="509"/>
      <c r="N426" s="342"/>
      <c r="O426" s="42"/>
    </row>
    <row r="427" spans="1:21" ht="30" customHeight="1" thickBot="1" x14ac:dyDescent="0.3">
      <c r="A427" s="20"/>
      <c r="B427" s="191"/>
      <c r="C427" s="191"/>
      <c r="D427" s="191"/>
      <c r="E427" s="297"/>
      <c r="F427" s="298"/>
      <c r="G427" s="298"/>
      <c r="H427" s="299"/>
      <c r="I427" s="18"/>
      <c r="J427" s="185" t="s">
        <v>358</v>
      </c>
      <c r="K427" s="305">
        <f>+K426</f>
        <v>756.62414131501487</v>
      </c>
      <c r="L427" s="20" t="s">
        <v>9</v>
      </c>
    </row>
    <row r="428" spans="1:21" ht="30" customHeight="1" thickBot="1" x14ac:dyDescent="0.3">
      <c r="A428" s="76"/>
      <c r="B428" s="77"/>
      <c r="C428" s="77"/>
      <c r="D428" s="77"/>
      <c r="E428" s="77"/>
      <c r="F428" s="77"/>
      <c r="G428" s="77"/>
      <c r="H428" s="77"/>
      <c r="I428" s="77"/>
      <c r="J428" s="77"/>
      <c r="K428" s="77"/>
      <c r="L428" s="78"/>
      <c r="M428" s="43"/>
    </row>
    <row r="429" spans="1:21" ht="30" customHeight="1" x14ac:dyDescent="0.25">
      <c r="A429" s="30" t="s">
        <v>288</v>
      </c>
      <c r="B429" s="31">
        <v>1421</v>
      </c>
      <c r="C429" s="484" t="s">
        <v>628</v>
      </c>
      <c r="D429" s="485"/>
      <c r="E429" s="177" t="s">
        <v>291</v>
      </c>
      <c r="F429" s="178" t="s">
        <v>9</v>
      </c>
      <c r="G429" s="123" t="s">
        <v>375</v>
      </c>
      <c r="H429" s="302">
        <v>582</v>
      </c>
      <c r="I429" s="177" t="s">
        <v>292</v>
      </c>
      <c r="J429" s="38" t="s">
        <v>623</v>
      </c>
      <c r="K429" s="38"/>
      <c r="L429" s="389"/>
      <c r="P429" s="43"/>
      <c r="Q429" s="43"/>
      <c r="R429" s="43"/>
      <c r="S429" s="60"/>
      <c r="T429" s="60"/>
      <c r="U429" s="43"/>
    </row>
    <row r="430" spans="1:21" s="49" customFormat="1" ht="30" customHeight="1" x14ac:dyDescent="0.25">
      <c r="A430" s="44" t="s">
        <v>517</v>
      </c>
      <c r="B430" s="45" t="s">
        <v>295</v>
      </c>
      <c r="C430" s="45"/>
      <c r="D430" s="45"/>
      <c r="E430" s="182" t="s">
        <v>518</v>
      </c>
      <c r="F430" s="285" t="s">
        <v>519</v>
      </c>
      <c r="G430" s="181"/>
      <c r="H430" s="181"/>
      <c r="I430" s="286" t="s">
        <v>520</v>
      </c>
      <c r="J430" s="287"/>
      <c r="K430" s="288" t="s">
        <v>521</v>
      </c>
      <c r="L430" s="289"/>
      <c r="M430" s="502"/>
      <c r="N430" s="502"/>
      <c r="O430" s="27"/>
      <c r="P430" s="50"/>
      <c r="Q430" s="50"/>
      <c r="R430" s="50"/>
      <c r="S430" s="212"/>
      <c r="T430" s="212"/>
      <c r="U430" s="50"/>
    </row>
    <row r="431" spans="1:21" s="41" customFormat="1" ht="30" customHeight="1" x14ac:dyDescent="0.25">
      <c r="A431" s="61">
        <v>44220</v>
      </c>
      <c r="B431" s="236" t="s">
        <v>629</v>
      </c>
      <c r="C431" s="237"/>
      <c r="D431" s="238"/>
      <c r="E431" s="291">
        <v>3600</v>
      </c>
      <c r="F431" s="303">
        <v>140</v>
      </c>
      <c r="G431" s="293"/>
      <c r="H431" s="294"/>
      <c r="I431" s="295">
        <f>+'MILCON Inflation Table'!F17</f>
        <v>0.9432470865927236</v>
      </c>
      <c r="J431" s="296"/>
      <c r="K431" s="304">
        <f>+F431*I431</f>
        <v>132.05459212298132</v>
      </c>
      <c r="L431" s="290" t="s">
        <v>9</v>
      </c>
      <c r="M431" s="1881"/>
      <c r="N431" s="1270"/>
      <c r="O431" s="42"/>
    </row>
    <row r="432" spans="1:21" s="41" customFormat="1" ht="30" customHeight="1" x14ac:dyDescent="0.25">
      <c r="A432" s="61">
        <v>21470</v>
      </c>
      <c r="B432" s="236" t="s">
        <v>630</v>
      </c>
      <c r="C432" s="237"/>
      <c r="D432" s="238"/>
      <c r="E432" s="291">
        <v>200</v>
      </c>
      <c r="F432" s="303">
        <v>315</v>
      </c>
      <c r="G432" s="293"/>
      <c r="H432" s="294"/>
      <c r="I432" s="295">
        <f>+'MILCON Inflation Table'!F17</f>
        <v>0.9432470865927236</v>
      </c>
      <c r="J432" s="296"/>
      <c r="K432" s="304">
        <f>+F432*I432</f>
        <v>297.12283227670792</v>
      </c>
      <c r="L432" s="290" t="s">
        <v>9</v>
      </c>
      <c r="M432" s="510"/>
      <c r="N432" s="342"/>
      <c r="O432" s="42"/>
    </row>
    <row r="433" spans="1:18" s="41" customFormat="1" ht="30" customHeight="1" x14ac:dyDescent="0.25">
      <c r="A433" s="61"/>
      <c r="B433" s="511"/>
      <c r="C433" s="512"/>
      <c r="D433" s="513" t="s">
        <v>631</v>
      </c>
      <c r="E433" s="514">
        <f>AVERAGE(E431:E432)</f>
        <v>1900</v>
      </c>
      <c r="F433" s="515"/>
      <c r="G433" s="516"/>
      <c r="H433" s="517"/>
      <c r="I433" s="295" t="s">
        <v>632</v>
      </c>
      <c r="J433" s="296"/>
      <c r="K433" s="518">
        <f>((E431/(E431+E432))*K431)+(E432/(E431+E432))*K432</f>
        <v>140.74239423633534</v>
      </c>
      <c r="L433" s="290" t="s">
        <v>9</v>
      </c>
      <c r="M433" s="1949"/>
      <c r="N433" s="1957"/>
      <c r="O433" s="42"/>
    </row>
    <row r="434" spans="1:18" ht="30" customHeight="1" thickBot="1" x14ac:dyDescent="0.3">
      <c r="A434" s="61"/>
      <c r="B434" s="192"/>
      <c r="C434" s="192"/>
      <c r="D434" s="192"/>
      <c r="E434" s="519"/>
      <c r="F434" s="520"/>
      <c r="G434" s="520"/>
      <c r="H434" s="521"/>
      <c r="I434" s="63"/>
      <c r="J434" s="48" t="s">
        <v>358</v>
      </c>
      <c r="K434" s="151">
        <f>+K433</f>
        <v>140.74239423633534</v>
      </c>
      <c r="L434" s="61" t="s">
        <v>9</v>
      </c>
    </row>
    <row r="435" spans="1:18" ht="30" customHeight="1" thickBot="1" x14ac:dyDescent="0.3">
      <c r="A435" s="76"/>
      <c r="B435" s="77"/>
      <c r="C435" s="77"/>
      <c r="D435" s="77"/>
      <c r="E435" s="77"/>
      <c r="F435" s="77"/>
      <c r="G435" s="77"/>
      <c r="H435" s="77"/>
      <c r="I435" s="77"/>
      <c r="J435" s="77"/>
      <c r="K435" s="77"/>
      <c r="L435" s="78"/>
      <c r="M435" s="43"/>
    </row>
    <row r="436" spans="1:18" ht="30" customHeight="1" x14ac:dyDescent="0.25">
      <c r="A436" s="30" t="s">
        <v>288</v>
      </c>
      <c r="B436" s="208">
        <v>1422</v>
      </c>
      <c r="C436" s="209" t="s">
        <v>633</v>
      </c>
      <c r="D436" s="210"/>
      <c r="E436" s="177" t="s">
        <v>291</v>
      </c>
      <c r="F436" s="178" t="s">
        <v>11</v>
      </c>
      <c r="G436" s="465" t="s">
        <v>290</v>
      </c>
      <c r="H436" s="388">
        <v>1</v>
      </c>
      <c r="I436" s="177" t="s">
        <v>292</v>
      </c>
      <c r="J436" s="488" t="s">
        <v>617</v>
      </c>
      <c r="K436" s="488"/>
      <c r="L436" s="489"/>
      <c r="M436" s="419"/>
      <c r="N436" s="420"/>
      <c r="O436"/>
      <c r="P436" s="412"/>
      <c r="Q436" s="391"/>
      <c r="R436" s="393"/>
    </row>
    <row r="437" spans="1:18" s="49" customFormat="1" ht="30" customHeight="1" x14ac:dyDescent="0.25">
      <c r="A437" s="48" t="s">
        <v>529</v>
      </c>
      <c r="B437" s="394" t="s">
        <v>560</v>
      </c>
      <c r="C437" s="395"/>
      <c r="D437" s="396"/>
      <c r="E437" s="397" t="s">
        <v>519</v>
      </c>
      <c r="F437" s="397" t="s">
        <v>561</v>
      </c>
      <c r="G437" s="398" t="s">
        <v>562</v>
      </c>
      <c r="H437" s="399"/>
      <c r="I437" s="181" t="s">
        <v>530</v>
      </c>
      <c r="J437" s="181"/>
      <c r="K437" s="288" t="s">
        <v>521</v>
      </c>
      <c r="L437" s="289"/>
      <c r="M437" s="425"/>
      <c r="N437" s="420"/>
      <c r="P437" s="412"/>
      <c r="Q437" s="391"/>
      <c r="R437" s="393"/>
    </row>
    <row r="438" spans="1:18" ht="30" customHeight="1" x14ac:dyDescent="0.25">
      <c r="A438" s="61" t="s">
        <v>634</v>
      </c>
      <c r="B438" s="503" t="s">
        <v>635</v>
      </c>
      <c r="C438" s="504"/>
      <c r="D438" s="505"/>
      <c r="E438" s="405">
        <v>76500</v>
      </c>
      <c r="F438" s="20" t="s">
        <v>11</v>
      </c>
      <c r="G438" s="522"/>
      <c r="H438" s="20"/>
      <c r="I438" s="20">
        <v>1.04</v>
      </c>
      <c r="J438" s="20"/>
      <c r="K438" s="405">
        <f>+E438*I438</f>
        <v>79560</v>
      </c>
      <c r="L438" s="20" t="s">
        <v>11</v>
      </c>
      <c r="M438" s="380"/>
      <c r="N438" s="1273"/>
      <c r="O438"/>
      <c r="P438" s="412"/>
      <c r="Q438" s="391"/>
      <c r="R438" s="393"/>
    </row>
    <row r="439" spans="1:18" ht="30" customHeight="1" x14ac:dyDescent="0.25">
      <c r="A439" s="61" t="s">
        <v>634</v>
      </c>
      <c r="B439" s="503" t="s">
        <v>636</v>
      </c>
      <c r="C439" s="504"/>
      <c r="D439" s="505"/>
      <c r="E439" s="405">
        <v>115000</v>
      </c>
      <c r="F439" s="20" t="s">
        <v>11</v>
      </c>
      <c r="G439" s="522"/>
      <c r="H439" s="20"/>
      <c r="I439" s="20">
        <v>1.04</v>
      </c>
      <c r="J439" s="20"/>
      <c r="K439" s="405">
        <f>+E439*I439</f>
        <v>119600</v>
      </c>
      <c r="L439" s="20" t="s">
        <v>11</v>
      </c>
      <c r="M439" s="380"/>
      <c r="N439" s="1273"/>
      <c r="O439"/>
      <c r="P439" s="412"/>
      <c r="Q439" s="391"/>
      <c r="R439" s="393"/>
    </row>
    <row r="440" spans="1:18" ht="30" customHeight="1" x14ac:dyDescent="0.25">
      <c r="A440" s="61"/>
      <c r="B440" s="523"/>
      <c r="C440" s="524"/>
      <c r="D440" s="407"/>
      <c r="E440" s="405"/>
      <c r="F440" s="20"/>
      <c r="G440" s="522"/>
      <c r="H440" s="20"/>
      <c r="I440" s="20"/>
      <c r="J440" s="20" t="s">
        <v>536</v>
      </c>
      <c r="K440" s="405">
        <f>AVERAGE(K438:K439)</f>
        <v>99580</v>
      </c>
      <c r="L440" s="20" t="s">
        <v>11</v>
      </c>
      <c r="M440" s="419"/>
      <c r="N440" s="420"/>
      <c r="O440"/>
      <c r="P440" s="412"/>
      <c r="Q440" s="391"/>
      <c r="R440" s="393"/>
    </row>
    <row r="441" spans="1:18" ht="30" customHeight="1" x14ac:dyDescent="0.25">
      <c r="A441" s="61"/>
      <c r="B441" s="523"/>
      <c r="C441" s="524"/>
      <c r="D441" s="407"/>
      <c r="E441" s="405"/>
      <c r="F441" s="338" t="s">
        <v>533</v>
      </c>
      <c r="G441" s="339" t="s">
        <v>534</v>
      </c>
      <c r="H441" s="339"/>
      <c r="I441" s="339"/>
      <c r="J441" s="339"/>
      <c r="K441" s="340">
        <v>1.07</v>
      </c>
      <c r="L441" s="20"/>
      <c r="M441" s="419"/>
      <c r="N441" s="420"/>
      <c r="O441"/>
      <c r="P441" s="412"/>
      <c r="Q441" s="391"/>
      <c r="R441" s="393"/>
    </row>
    <row r="442" spans="1:18" ht="30" customHeight="1" x14ac:dyDescent="0.25">
      <c r="A442" s="61"/>
      <c r="B442" s="191"/>
      <c r="C442" s="191"/>
      <c r="D442" s="191"/>
      <c r="E442" s="405"/>
      <c r="F442" s="343"/>
      <c r="G442" s="344" t="s">
        <v>535</v>
      </c>
      <c r="H442" s="344"/>
      <c r="I442" s="344"/>
      <c r="J442" s="344"/>
      <c r="K442" s="340">
        <v>1.02</v>
      </c>
      <c r="L442" s="13"/>
      <c r="M442" s="419"/>
      <c r="N442" s="420"/>
      <c r="O442"/>
      <c r="P442" s="412"/>
      <c r="Q442" s="391"/>
      <c r="R442" s="393"/>
    </row>
    <row r="443" spans="1:18" ht="30" customHeight="1" x14ac:dyDescent="0.25">
      <c r="A443" s="61"/>
      <c r="B443" s="20"/>
      <c r="C443" s="18"/>
      <c r="D443" s="18"/>
      <c r="E443" s="18"/>
      <c r="F443" s="18"/>
      <c r="G443" s="18"/>
      <c r="H443" s="18"/>
      <c r="I443" s="18"/>
      <c r="J443" s="18" t="s">
        <v>358</v>
      </c>
      <c r="K443" s="23">
        <f>+K440*K441/K442</f>
        <v>104461.37254901961</v>
      </c>
      <c r="L443" s="20" t="s">
        <v>11</v>
      </c>
      <c r="M443" s="419"/>
      <c r="N443" s="420"/>
      <c r="O443"/>
      <c r="P443" s="412"/>
      <c r="Q443" s="391"/>
      <c r="R443" s="393"/>
    </row>
    <row r="444" spans="1:18" ht="30" customHeight="1" thickBot="1" x14ac:dyDescent="0.3">
      <c r="A444" s="61"/>
      <c r="B444" s="20"/>
      <c r="C444" s="18"/>
      <c r="D444" s="18"/>
      <c r="E444" s="18"/>
      <c r="F444" s="18"/>
      <c r="G444" s="413" t="s">
        <v>537</v>
      </c>
      <c r="H444" s="18"/>
      <c r="I444" s="18"/>
      <c r="J444" s="361">
        <f>VLOOKUP(B436,'Mil Cost Premiums for RUCs'!$A$4:$R$265,18,FALSE)</f>
        <v>1.0209999999999999</v>
      </c>
      <c r="K444" s="23">
        <f>+K443*J444</f>
        <v>106655.06137254901</v>
      </c>
      <c r="L444" s="20" t="s">
        <v>11</v>
      </c>
      <c r="M444" s="419"/>
      <c r="N444" s="420"/>
      <c r="O444"/>
      <c r="P444" s="412"/>
      <c r="Q444" s="391"/>
      <c r="R444" s="393"/>
    </row>
    <row r="445" spans="1:18" ht="30" customHeight="1" thickBot="1" x14ac:dyDescent="0.3">
      <c r="A445" s="76"/>
      <c r="B445" s="77"/>
      <c r="C445" s="77"/>
      <c r="D445" s="77"/>
      <c r="E445" s="77"/>
      <c r="F445" s="77"/>
      <c r="G445" s="77"/>
      <c r="H445" s="77"/>
      <c r="I445" s="77"/>
      <c r="J445" s="77"/>
      <c r="K445" s="77"/>
      <c r="L445" s="78"/>
      <c r="M445" s="419"/>
      <c r="N445" s="420"/>
      <c r="O445"/>
      <c r="P445" s="412"/>
      <c r="Q445" s="391"/>
      <c r="R445" s="393"/>
    </row>
    <row r="446" spans="1:18" ht="30" customHeight="1" x14ac:dyDescent="0.25">
      <c r="A446" s="525" t="s">
        <v>288</v>
      </c>
      <c r="B446" s="525">
        <v>1431</v>
      </c>
      <c r="C446" s="121" t="s">
        <v>637</v>
      </c>
      <c r="D446" s="122"/>
      <c r="E446" s="290" t="s">
        <v>291</v>
      </c>
      <c r="F446" s="481" t="s">
        <v>9</v>
      </c>
      <c r="G446" s="123" t="s">
        <v>375</v>
      </c>
      <c r="H446" s="526">
        <v>11356</v>
      </c>
      <c r="I446" s="177" t="s">
        <v>292</v>
      </c>
      <c r="J446" s="38" t="s">
        <v>516</v>
      </c>
      <c r="K446" s="39"/>
      <c r="L446" s="40"/>
      <c r="M446" s="1948"/>
      <c r="N446" s="1956"/>
      <c r="O446"/>
      <c r="P446" s="412"/>
      <c r="Q446" s="391"/>
      <c r="R446" s="393"/>
    </row>
    <row r="447" spans="1:18" s="49" customFormat="1" ht="30" customHeight="1" x14ac:dyDescent="0.25">
      <c r="A447" s="44" t="s">
        <v>517</v>
      </c>
      <c r="B447" s="45" t="s">
        <v>295</v>
      </c>
      <c r="C447" s="45"/>
      <c r="D447" s="45"/>
      <c r="E447" s="182" t="s">
        <v>518</v>
      </c>
      <c r="F447" s="285" t="s">
        <v>519</v>
      </c>
      <c r="G447" s="181"/>
      <c r="H447" s="181"/>
      <c r="I447" s="286" t="s">
        <v>520</v>
      </c>
      <c r="J447" s="287"/>
      <c r="K447" s="288" t="s">
        <v>521</v>
      </c>
      <c r="L447" s="289"/>
      <c r="M447" s="425"/>
      <c r="N447" s="420"/>
      <c r="P447" s="412"/>
      <c r="Q447" s="391"/>
      <c r="R447" s="393"/>
    </row>
    <row r="448" spans="1:18" ht="30" customHeight="1" x14ac:dyDescent="0.25">
      <c r="A448" s="61" t="s">
        <v>522</v>
      </c>
      <c r="B448" s="236" t="s">
        <v>638</v>
      </c>
      <c r="C448" s="237"/>
      <c r="D448" s="238"/>
      <c r="E448" s="527">
        <v>45000</v>
      </c>
      <c r="F448" s="528">
        <v>294.72000000000003</v>
      </c>
      <c r="G448" s="406"/>
      <c r="H448" s="407"/>
      <c r="I448" s="295" t="s">
        <v>524</v>
      </c>
      <c r="J448" s="296"/>
      <c r="K448" s="529">
        <f>F448</f>
        <v>294.72000000000003</v>
      </c>
      <c r="L448" s="20" t="s">
        <v>9</v>
      </c>
      <c r="M448" s="380"/>
      <c r="N448" s="1273"/>
      <c r="O448"/>
      <c r="P448" s="412"/>
      <c r="Q448" s="391"/>
      <c r="R448" s="393"/>
    </row>
    <row r="449" spans="1:18" ht="30" customHeight="1" x14ac:dyDescent="0.25">
      <c r="A449" s="61"/>
      <c r="B449" s="498"/>
      <c r="C449" s="498"/>
      <c r="D449" s="498"/>
      <c r="E449" s="530"/>
      <c r="F449" s="61"/>
      <c r="G449" s="61"/>
      <c r="H449" s="61"/>
      <c r="I449" s="61"/>
      <c r="J449" s="48" t="s">
        <v>358</v>
      </c>
      <c r="K449" s="530">
        <f>SUM(K448:K448)</f>
        <v>294.72000000000003</v>
      </c>
      <c r="L449" s="61" t="s">
        <v>9</v>
      </c>
      <c r="M449" s="380"/>
      <c r="N449" s="1273"/>
      <c r="O449"/>
      <c r="P449" s="412"/>
      <c r="Q449" s="391"/>
      <c r="R449" s="393"/>
    </row>
    <row r="450" spans="1:18" ht="359.25" customHeight="1" x14ac:dyDescent="0.25">
      <c r="A450" s="531" t="s">
        <v>639</v>
      </c>
      <c r="B450" s="532"/>
      <c r="C450" s="532"/>
      <c r="D450" s="532"/>
      <c r="E450" s="532"/>
      <c r="F450" s="532"/>
      <c r="G450" s="532"/>
      <c r="H450" s="532"/>
      <c r="I450" s="532"/>
      <c r="J450" s="532"/>
      <c r="K450" s="532"/>
      <c r="L450" s="533"/>
      <c r="M450" s="380"/>
      <c r="N450" s="1273"/>
      <c r="O450"/>
      <c r="P450" s="412"/>
      <c r="Q450" s="391"/>
      <c r="R450" s="393"/>
    </row>
    <row r="451" spans="1:18" ht="30" customHeight="1" x14ac:dyDescent="0.25">
      <c r="A451" s="534"/>
      <c r="B451" s="535"/>
      <c r="C451" s="535"/>
      <c r="D451" s="535"/>
      <c r="E451" s="535"/>
      <c r="F451" s="535"/>
      <c r="G451" s="535"/>
      <c r="H451" s="535"/>
      <c r="I451" s="535"/>
      <c r="J451" s="535"/>
      <c r="K451" s="535"/>
      <c r="L451" s="536"/>
      <c r="M451" s="537"/>
      <c r="N451" s="537"/>
      <c r="O451"/>
      <c r="P451" s="412"/>
      <c r="Q451" s="391"/>
      <c r="R451" s="393"/>
    </row>
    <row r="452" spans="1:18" ht="30" customHeight="1" x14ac:dyDescent="0.25">
      <c r="A452" s="30" t="s">
        <v>288</v>
      </c>
      <c r="B452" s="208">
        <v>1441</v>
      </c>
      <c r="C452" s="387" t="s">
        <v>640</v>
      </c>
      <c r="D452" s="538"/>
      <c r="E452" s="177" t="s">
        <v>291</v>
      </c>
      <c r="F452" s="178" t="s">
        <v>9</v>
      </c>
      <c r="G452" s="123" t="s">
        <v>375</v>
      </c>
      <c r="H452" s="539">
        <v>9219</v>
      </c>
      <c r="I452" s="177" t="s">
        <v>292</v>
      </c>
      <c r="J452" s="38" t="s">
        <v>641</v>
      </c>
      <c r="K452" s="38"/>
      <c r="L452" s="389"/>
      <c r="M452" s="1890"/>
      <c r="N452" s="1890"/>
      <c r="O452"/>
      <c r="P452" s="412"/>
      <c r="Q452" s="391"/>
      <c r="R452" s="393"/>
    </row>
    <row r="453" spans="1:18" ht="30" customHeight="1" x14ac:dyDescent="0.25">
      <c r="A453" s="48" t="s">
        <v>529</v>
      </c>
      <c r="B453" s="394" t="s">
        <v>560</v>
      </c>
      <c r="C453" s="395"/>
      <c r="D453" s="396"/>
      <c r="E453" s="397" t="s">
        <v>519</v>
      </c>
      <c r="F453" s="397" t="s">
        <v>561</v>
      </c>
      <c r="G453" s="398" t="s">
        <v>562</v>
      </c>
      <c r="H453" s="399"/>
      <c r="I453" s="400" t="s">
        <v>530</v>
      </c>
      <c r="J453" s="400"/>
      <c r="K453" s="288" t="s">
        <v>521</v>
      </c>
      <c r="L453" s="289"/>
      <c r="M453" s="419"/>
      <c r="N453" s="420"/>
      <c r="O453"/>
      <c r="P453" s="412"/>
      <c r="Q453" s="391"/>
      <c r="R453" s="393"/>
    </row>
    <row r="454" spans="1:18" ht="30" customHeight="1" x14ac:dyDescent="0.25">
      <c r="A454" s="61" t="s">
        <v>642</v>
      </c>
      <c r="B454" s="503" t="s">
        <v>643</v>
      </c>
      <c r="C454" s="504"/>
      <c r="D454" s="505"/>
      <c r="E454" s="405">
        <v>196.53</v>
      </c>
      <c r="F454" s="20" t="s">
        <v>9</v>
      </c>
      <c r="G454" s="406"/>
      <c r="H454" s="407"/>
      <c r="I454" s="20">
        <v>1.05</v>
      </c>
      <c r="J454" s="20"/>
      <c r="K454" s="405">
        <f>+E454*I454</f>
        <v>206.35650000000001</v>
      </c>
      <c r="L454" s="20" t="s">
        <v>9</v>
      </c>
      <c r="M454" s="419"/>
      <c r="N454" s="420"/>
      <c r="O454"/>
      <c r="P454" s="412"/>
      <c r="Q454" s="391"/>
      <c r="R454" s="393"/>
    </row>
    <row r="455" spans="1:18" ht="30" customHeight="1" x14ac:dyDescent="0.25">
      <c r="A455" s="61" t="s">
        <v>644</v>
      </c>
      <c r="B455" s="503" t="s">
        <v>645</v>
      </c>
      <c r="C455" s="504"/>
      <c r="D455" s="505"/>
      <c r="E455" s="405">
        <v>3.4</v>
      </c>
      <c r="F455" s="20" t="s">
        <v>9</v>
      </c>
      <c r="G455" s="406"/>
      <c r="H455" s="407"/>
      <c r="I455" s="20">
        <v>1.05</v>
      </c>
      <c r="J455" s="20"/>
      <c r="K455" s="405">
        <f>+E455*I455</f>
        <v>3.57</v>
      </c>
      <c r="L455" s="20" t="s">
        <v>9</v>
      </c>
      <c r="M455" s="419"/>
      <c r="N455" s="420"/>
      <c r="O455"/>
      <c r="P455" s="412"/>
      <c r="Q455" s="391"/>
      <c r="R455" s="393"/>
    </row>
    <row r="456" spans="1:18" ht="30" customHeight="1" x14ac:dyDescent="0.25">
      <c r="A456" s="61"/>
      <c r="B456" s="186"/>
      <c r="C456" s="186"/>
      <c r="D456" s="186"/>
      <c r="E456" s="405"/>
      <c r="F456" s="20"/>
      <c r="G456" s="20"/>
      <c r="H456" s="20"/>
      <c r="I456" s="20"/>
      <c r="J456" s="20" t="s">
        <v>646</v>
      </c>
      <c r="K456" s="405">
        <f>SUM(K454:K455)</f>
        <v>209.9265</v>
      </c>
      <c r="L456" s="20" t="s">
        <v>9</v>
      </c>
      <c r="M456" s="419"/>
      <c r="N456" s="420"/>
      <c r="O456"/>
      <c r="P456" s="412"/>
      <c r="Q456" s="391"/>
      <c r="R456" s="393"/>
    </row>
    <row r="457" spans="1:18" ht="30" customHeight="1" x14ac:dyDescent="0.25">
      <c r="A457" s="61"/>
      <c r="B457" s="410"/>
      <c r="C457" s="410"/>
      <c r="D457" s="410"/>
      <c r="E457" s="405"/>
      <c r="F457" s="338" t="s">
        <v>533</v>
      </c>
      <c r="G457" s="339" t="s">
        <v>647</v>
      </c>
      <c r="H457" s="339"/>
      <c r="I457" s="339"/>
      <c r="J457" s="339"/>
      <c r="K457" s="340">
        <v>1.0900000000000001</v>
      </c>
      <c r="L457" s="20"/>
      <c r="M457" s="419"/>
      <c r="N457" s="420"/>
      <c r="O457"/>
      <c r="P457" s="412"/>
      <c r="Q457" s="391"/>
      <c r="R457" s="393"/>
    </row>
    <row r="458" spans="1:18" ht="30" customHeight="1" x14ac:dyDescent="0.25">
      <c r="A458" s="61"/>
      <c r="B458" s="410"/>
      <c r="C458" s="410"/>
      <c r="D458" s="410"/>
      <c r="E458" s="405"/>
      <c r="F458" s="343"/>
      <c r="G458" s="344" t="s">
        <v>535</v>
      </c>
      <c r="H458" s="344"/>
      <c r="I458" s="344"/>
      <c r="J458" s="344"/>
      <c r="K458" s="340">
        <v>1.02</v>
      </c>
      <c r="L458" s="20"/>
      <c r="M458" s="419"/>
      <c r="N458" s="420"/>
      <c r="O458"/>
      <c r="P458" s="412"/>
      <c r="Q458" s="391"/>
      <c r="R458" s="393"/>
    </row>
    <row r="459" spans="1:18" ht="30" customHeight="1" x14ac:dyDescent="0.25">
      <c r="A459" s="61"/>
      <c r="B459" s="20"/>
      <c r="C459" s="18"/>
      <c r="D459" s="18"/>
      <c r="E459" s="18"/>
      <c r="F459" s="18"/>
      <c r="G459" s="18"/>
      <c r="H459" s="18"/>
      <c r="I459" s="18"/>
      <c r="J459" s="20" t="s">
        <v>358</v>
      </c>
      <c r="K459" s="23">
        <f>+K456*K457/K458</f>
        <v>224.33322058823532</v>
      </c>
      <c r="L459" s="20" t="s">
        <v>9</v>
      </c>
      <c r="M459" s="419"/>
      <c r="N459" s="420"/>
      <c r="O459"/>
      <c r="P459" s="412"/>
      <c r="Q459" s="391"/>
      <c r="R459" s="393"/>
    </row>
    <row r="460" spans="1:18" ht="30" customHeight="1" thickBot="1" x14ac:dyDescent="0.3">
      <c r="A460" s="61"/>
      <c r="B460" s="20"/>
      <c r="C460" s="18"/>
      <c r="D460" s="18"/>
      <c r="E460" s="18"/>
      <c r="F460" s="18"/>
      <c r="G460" s="413" t="s">
        <v>537</v>
      </c>
      <c r="H460" s="18"/>
      <c r="I460" s="18"/>
      <c r="J460" s="361">
        <f>VLOOKUP(B452,'Mil Cost Premiums for RUCs'!$A$4:$R$265,18,FALSE)</f>
        <v>1.3319480854780448</v>
      </c>
      <c r="K460" s="23">
        <f>+K459*J460</f>
        <v>298.80020367162393</v>
      </c>
      <c r="L460" s="20" t="s">
        <v>9</v>
      </c>
      <c r="M460" s="419"/>
      <c r="N460" s="420"/>
      <c r="O460"/>
      <c r="P460" s="412"/>
      <c r="Q460" s="391"/>
      <c r="R460" s="393"/>
    </row>
    <row r="461" spans="1:18" s="49" customFormat="1" ht="30" customHeight="1" thickBot="1" x14ac:dyDescent="0.3">
      <c r="A461" s="76"/>
      <c r="B461" s="77"/>
      <c r="C461" s="77"/>
      <c r="D461" s="77"/>
      <c r="E461" s="77"/>
      <c r="F461" s="77"/>
      <c r="G461" s="77"/>
      <c r="H461" s="77"/>
      <c r="I461" s="77"/>
      <c r="J461" s="77"/>
      <c r="K461" s="77"/>
      <c r="L461" s="78"/>
      <c r="M461" s="425"/>
      <c r="N461" s="420"/>
      <c r="P461" s="412"/>
      <c r="Q461" s="391"/>
      <c r="R461" s="393"/>
    </row>
    <row r="462" spans="1:18" ht="30" customHeight="1" x14ac:dyDescent="0.25">
      <c r="A462" s="417" t="s">
        <v>288</v>
      </c>
      <c r="B462" s="418">
        <v>1442</v>
      </c>
      <c r="C462" s="415" t="s">
        <v>648</v>
      </c>
      <c r="D462" s="416"/>
      <c r="E462" s="540" t="s">
        <v>291</v>
      </c>
      <c r="F462" s="541" t="s">
        <v>9</v>
      </c>
      <c r="G462" s="123" t="s">
        <v>375</v>
      </c>
      <c r="H462" s="542">
        <v>12148</v>
      </c>
      <c r="I462" s="540" t="s">
        <v>292</v>
      </c>
      <c r="J462" s="488" t="s">
        <v>617</v>
      </c>
      <c r="K462" s="488"/>
      <c r="L462" s="489"/>
      <c r="M462" s="419"/>
      <c r="N462" s="420"/>
      <c r="O462"/>
      <c r="P462" s="412"/>
      <c r="Q462" s="391"/>
      <c r="R462" s="393"/>
    </row>
    <row r="463" spans="1:18" ht="30" customHeight="1" x14ac:dyDescent="0.25">
      <c r="A463" s="421" t="s">
        <v>529</v>
      </c>
      <c r="B463" s="543" t="s">
        <v>560</v>
      </c>
      <c r="C463" s="544"/>
      <c r="D463" s="545"/>
      <c r="E463" s="546" t="s">
        <v>519</v>
      </c>
      <c r="F463" s="546" t="s">
        <v>561</v>
      </c>
      <c r="G463" s="547" t="s">
        <v>562</v>
      </c>
      <c r="H463" s="548"/>
      <c r="I463" s="549" t="s">
        <v>530</v>
      </c>
      <c r="J463" s="549"/>
      <c r="K463" s="288" t="s">
        <v>521</v>
      </c>
      <c r="L463" s="289"/>
      <c r="M463" s="419"/>
      <c r="N463" s="420"/>
      <c r="O463"/>
      <c r="P463" s="412"/>
      <c r="Q463" s="391"/>
      <c r="R463" s="393"/>
    </row>
    <row r="464" spans="1:18" ht="30" customHeight="1" x14ac:dyDescent="0.25">
      <c r="A464" s="10" t="s">
        <v>649</v>
      </c>
      <c r="B464" s="323" t="s">
        <v>650</v>
      </c>
      <c r="C464" s="324"/>
      <c r="D464" s="325"/>
      <c r="E464" s="326">
        <v>222.42</v>
      </c>
      <c r="F464" s="10" t="s">
        <v>9</v>
      </c>
      <c r="G464" s="550"/>
      <c r="H464" s="336"/>
      <c r="I464" s="10">
        <v>1.06</v>
      </c>
      <c r="J464" s="10"/>
      <c r="K464" s="326">
        <f>+E464*I464</f>
        <v>235.76519999999999</v>
      </c>
      <c r="L464" s="10" t="s">
        <v>9</v>
      </c>
      <c r="M464" s="419"/>
      <c r="N464" s="420"/>
      <c r="O464"/>
      <c r="P464" s="412"/>
      <c r="Q464" s="391"/>
      <c r="R464" s="393"/>
    </row>
    <row r="465" spans="1:18" ht="30" customHeight="1" x14ac:dyDescent="0.25">
      <c r="A465" s="10" t="s">
        <v>644</v>
      </c>
      <c r="B465" s="323" t="s">
        <v>651</v>
      </c>
      <c r="C465" s="324"/>
      <c r="D465" s="325"/>
      <c r="E465" s="326">
        <v>4.01</v>
      </c>
      <c r="F465" s="10" t="s">
        <v>9</v>
      </c>
      <c r="G465" s="550"/>
      <c r="H465" s="336"/>
      <c r="I465" s="10">
        <v>1.06</v>
      </c>
      <c r="J465" s="10"/>
      <c r="K465" s="326">
        <f>+E465*I465</f>
        <v>4.2506000000000004</v>
      </c>
      <c r="L465" s="10" t="s">
        <v>9</v>
      </c>
      <c r="M465" s="419"/>
      <c r="N465" s="420"/>
      <c r="O465"/>
      <c r="P465" s="412"/>
      <c r="Q465" s="391"/>
      <c r="R465" s="393"/>
    </row>
    <row r="466" spans="1:18" ht="30" customHeight="1" x14ac:dyDescent="0.25">
      <c r="A466" s="10"/>
      <c r="B466" s="551"/>
      <c r="C466" s="551"/>
      <c r="D466" s="551"/>
      <c r="E466" s="326"/>
      <c r="F466" s="10"/>
      <c r="G466" s="10"/>
      <c r="H466" s="10"/>
      <c r="I466" s="10"/>
      <c r="J466" s="10" t="s">
        <v>578</v>
      </c>
      <c r="K466" s="326">
        <f>SUM(K464:K465)</f>
        <v>240.01579999999998</v>
      </c>
      <c r="L466" s="10" t="s">
        <v>9</v>
      </c>
      <c r="M466" s="419"/>
      <c r="N466" s="420"/>
      <c r="O466"/>
      <c r="P466" s="412"/>
      <c r="Q466" s="391"/>
      <c r="R466" s="393"/>
    </row>
    <row r="467" spans="1:18" ht="30" customHeight="1" x14ac:dyDescent="0.25">
      <c r="A467" s="10"/>
      <c r="B467" s="552"/>
      <c r="C467" s="552"/>
      <c r="D467" s="552"/>
      <c r="E467" s="326"/>
      <c r="F467" s="338" t="s">
        <v>533</v>
      </c>
      <c r="G467" s="339" t="s">
        <v>534</v>
      </c>
      <c r="H467" s="339"/>
      <c r="I467" s="339"/>
      <c r="J467" s="339"/>
      <c r="K467" s="340">
        <v>1.0900000000000001</v>
      </c>
      <c r="L467" s="10"/>
      <c r="M467" s="419"/>
      <c r="N467" s="420"/>
      <c r="O467"/>
      <c r="P467" s="412"/>
      <c r="Q467" s="391"/>
      <c r="R467" s="393"/>
    </row>
    <row r="468" spans="1:18" ht="30" customHeight="1" x14ac:dyDescent="0.25">
      <c r="A468" s="10"/>
      <c r="B468" s="552"/>
      <c r="C468" s="552"/>
      <c r="D468" s="552"/>
      <c r="E468" s="326"/>
      <c r="F468" s="343"/>
      <c r="G468" s="344" t="s">
        <v>535</v>
      </c>
      <c r="H468" s="344"/>
      <c r="I468" s="344"/>
      <c r="J468" s="344"/>
      <c r="K468" s="340">
        <v>1.02</v>
      </c>
      <c r="L468" s="10"/>
      <c r="M468" s="419"/>
      <c r="N468" s="420"/>
      <c r="O468"/>
      <c r="P468" s="412"/>
      <c r="Q468" s="391"/>
      <c r="R468" s="393"/>
    </row>
    <row r="469" spans="1:18" ht="30" customHeight="1" x14ac:dyDescent="0.25">
      <c r="A469" s="10"/>
      <c r="B469" s="10"/>
      <c r="C469" s="13"/>
      <c r="D469" s="13"/>
      <c r="E469" s="13"/>
      <c r="F469" s="13"/>
      <c r="G469" s="13"/>
      <c r="H469" s="13"/>
      <c r="I469" s="13"/>
      <c r="J469" s="10" t="s">
        <v>358</v>
      </c>
      <c r="K469" s="14">
        <f>+K466*K467/K468</f>
        <v>256.48747254901963</v>
      </c>
      <c r="L469" s="10" t="s">
        <v>9</v>
      </c>
      <c r="M469" s="419"/>
      <c r="N469" s="420"/>
      <c r="O469"/>
      <c r="P469" s="392"/>
      <c r="Q469" s="57"/>
      <c r="R469" s="393"/>
    </row>
    <row r="470" spans="1:18" ht="30" customHeight="1" x14ac:dyDescent="0.25">
      <c r="A470" s="553"/>
      <c r="B470" s="554"/>
      <c r="C470" s="555"/>
      <c r="D470" s="555"/>
      <c r="E470" s="555"/>
      <c r="F470" s="555"/>
      <c r="G470" s="556"/>
      <c r="H470" s="556"/>
      <c r="I470" s="557" t="s">
        <v>652</v>
      </c>
      <c r="J470" s="361">
        <f>VLOOKUP(B462,'Mil Cost Premiums for RUCs'!$A$4:$R$265,18,FALSE)</f>
        <v>1.3319480854780448</v>
      </c>
      <c r="K470" s="558">
        <f>+K469*J470</f>
        <v>341.62799801076926</v>
      </c>
      <c r="L470" s="10" t="s">
        <v>9</v>
      </c>
      <c r="M470" s="419"/>
      <c r="N470" s="420"/>
      <c r="O470"/>
      <c r="P470" s="392"/>
      <c r="Q470" s="57"/>
      <c r="R470" s="393"/>
    </row>
    <row r="471" spans="1:18" s="49" customFormat="1" ht="75" customHeight="1" x14ac:dyDescent="0.25">
      <c r="A471" s="559" t="s">
        <v>538</v>
      </c>
      <c r="B471" s="559"/>
      <c r="C471" s="559"/>
      <c r="D471" s="559"/>
      <c r="E471" s="559"/>
      <c r="F471" s="559"/>
      <c r="G471" s="559"/>
      <c r="H471" s="559"/>
      <c r="I471" s="559"/>
      <c r="J471" s="559"/>
      <c r="K471" s="559"/>
      <c r="L471" s="559"/>
      <c r="M471" s="425"/>
      <c r="N471" s="420"/>
      <c r="P471" s="392"/>
      <c r="Q471" s="57"/>
      <c r="R471" s="393"/>
    </row>
    <row r="472" spans="1:18" ht="30" customHeight="1" x14ac:dyDescent="0.25">
      <c r="A472" s="372" t="s">
        <v>539</v>
      </c>
      <c r="B472" s="452"/>
      <c r="C472" s="452"/>
      <c r="D472" s="386" t="s">
        <v>653</v>
      </c>
      <c r="E472" s="560"/>
      <c r="F472" s="560"/>
      <c r="G472" s="560"/>
      <c r="H472" s="560"/>
      <c r="I472" s="560"/>
      <c r="J472" s="560"/>
      <c r="K472" s="560"/>
      <c r="L472" s="561"/>
      <c r="M472" s="419"/>
      <c r="N472" s="420"/>
      <c r="O472"/>
      <c r="P472" s="392"/>
      <c r="Q472" s="57"/>
      <c r="R472" s="393"/>
    </row>
    <row r="473" spans="1:18" ht="45" customHeight="1" x14ac:dyDescent="0.25">
      <c r="A473" s="372" t="s">
        <v>541</v>
      </c>
      <c r="B473" s="452"/>
      <c r="C473" s="452"/>
      <c r="D473" s="148" t="s">
        <v>654</v>
      </c>
      <c r="E473" s="562"/>
      <c r="F473" s="562"/>
      <c r="G473" s="562"/>
      <c r="H473" s="562"/>
      <c r="I473" s="562"/>
      <c r="J473" s="562"/>
      <c r="K473" s="562"/>
      <c r="L473" s="562"/>
      <c r="M473" s="419"/>
      <c r="N473" s="420"/>
      <c r="O473"/>
      <c r="P473" s="392"/>
      <c r="Q473" s="57"/>
      <c r="R473" s="393"/>
    </row>
    <row r="474" spans="1:18" ht="30" customHeight="1" x14ac:dyDescent="0.25">
      <c r="A474" s="372" t="s">
        <v>543</v>
      </c>
      <c r="B474" s="452"/>
      <c r="C474" s="452"/>
      <c r="D474" s="386" t="s">
        <v>655</v>
      </c>
      <c r="E474" s="383"/>
      <c r="F474" s="383"/>
      <c r="G474" s="383"/>
      <c r="H474" s="383"/>
      <c r="I474" s="383"/>
      <c r="J474" s="383"/>
      <c r="K474" s="383"/>
      <c r="L474" s="384"/>
      <c r="M474" s="419"/>
      <c r="N474" s="420"/>
      <c r="O474"/>
      <c r="P474" s="412"/>
      <c r="Q474" s="391"/>
      <c r="R474" s="393"/>
    </row>
    <row r="475" spans="1:18" ht="30" customHeight="1" x14ac:dyDescent="0.25">
      <c r="A475" s="372" t="s">
        <v>546</v>
      </c>
      <c r="B475" s="452"/>
      <c r="C475" s="452"/>
      <c r="D475" s="386" t="s">
        <v>656</v>
      </c>
      <c r="E475" s="383"/>
      <c r="F475" s="383"/>
      <c r="G475" s="383"/>
      <c r="H475" s="383"/>
      <c r="I475" s="383"/>
      <c r="J475" s="383"/>
      <c r="K475" s="383"/>
      <c r="L475" s="384"/>
      <c r="M475" s="419"/>
      <c r="N475" s="420"/>
      <c r="O475"/>
      <c r="P475" s="412"/>
      <c r="Q475" s="391"/>
      <c r="R475" s="393"/>
    </row>
    <row r="476" spans="1:18" ht="30" customHeight="1" x14ac:dyDescent="0.25">
      <c r="A476" s="372" t="s">
        <v>548</v>
      </c>
      <c r="B476" s="452"/>
      <c r="C476" s="452"/>
      <c r="D476" s="386" t="s">
        <v>657</v>
      </c>
      <c r="E476" s="383"/>
      <c r="F476" s="383"/>
      <c r="G476" s="383"/>
      <c r="H476" s="383"/>
      <c r="I476" s="383"/>
      <c r="J476" s="383"/>
      <c r="K476" s="383"/>
      <c r="L476" s="384"/>
      <c r="M476" s="419"/>
      <c r="N476" s="420"/>
      <c r="O476"/>
      <c r="P476" s="412"/>
      <c r="Q476" s="391"/>
      <c r="R476" s="393"/>
    </row>
    <row r="477" spans="1:18" ht="30" customHeight="1" x14ac:dyDescent="0.25">
      <c r="A477" s="372" t="s">
        <v>550</v>
      </c>
      <c r="B477" s="452"/>
      <c r="C477" s="452"/>
      <c r="D477" s="563" t="s">
        <v>658</v>
      </c>
      <c r="E477" s="560"/>
      <c r="F477" s="560"/>
      <c r="G477" s="560"/>
      <c r="H477" s="560"/>
      <c r="I477" s="560"/>
      <c r="J477" s="560"/>
      <c r="K477" s="560"/>
      <c r="L477" s="561"/>
      <c r="M477" s="419"/>
      <c r="N477" s="420"/>
      <c r="O477"/>
      <c r="P477" s="412"/>
      <c r="Q477" s="391"/>
      <c r="R477" s="393"/>
    </row>
    <row r="478" spans="1:18" ht="30" customHeight="1" x14ac:dyDescent="0.25">
      <c r="A478" s="372" t="s">
        <v>552</v>
      </c>
      <c r="B478" s="452"/>
      <c r="C478" s="452"/>
      <c r="D478" s="563" t="s">
        <v>659</v>
      </c>
      <c r="E478" s="560"/>
      <c r="F478" s="560"/>
      <c r="G478" s="560"/>
      <c r="H478" s="560"/>
      <c r="I478" s="560"/>
      <c r="J478" s="560"/>
      <c r="K478" s="560"/>
      <c r="L478" s="561"/>
      <c r="M478" s="419"/>
      <c r="N478" s="420"/>
      <c r="O478"/>
      <c r="P478" s="412"/>
      <c r="Q478" s="391"/>
      <c r="R478" s="393"/>
    </row>
    <row r="479" spans="1:18" s="25" customFormat="1" ht="75" customHeight="1" thickBot="1" x14ac:dyDescent="0.3">
      <c r="A479" s="381" t="s">
        <v>553</v>
      </c>
      <c r="B479" s="462"/>
      <c r="C479" s="462"/>
      <c r="D479" s="564" t="s">
        <v>660</v>
      </c>
      <c r="E479" s="565"/>
      <c r="F479" s="565"/>
      <c r="G479" s="565"/>
      <c r="H479" s="565"/>
      <c r="I479" s="565"/>
      <c r="J479" s="565"/>
      <c r="K479" s="565"/>
      <c r="L479" s="565"/>
      <c r="M479" s="419"/>
      <c r="N479" s="420"/>
      <c r="P479" s="566"/>
      <c r="Q479" s="420"/>
      <c r="R479" s="567"/>
    </row>
    <row r="480" spans="1:18" ht="30" customHeight="1" thickBot="1" x14ac:dyDescent="0.3">
      <c r="A480" s="76"/>
      <c r="B480" s="77"/>
      <c r="C480" s="77"/>
      <c r="D480" s="77"/>
      <c r="E480" s="77"/>
      <c r="F480" s="77"/>
      <c r="G480" s="77"/>
      <c r="H480" s="77"/>
      <c r="I480" s="77"/>
      <c r="J480" s="77"/>
      <c r="K480" s="77"/>
      <c r="L480" s="78"/>
      <c r="M480" s="419"/>
      <c r="N480" s="420"/>
      <c r="O480"/>
      <c r="P480" s="412"/>
      <c r="Q480" s="391"/>
      <c r="R480" s="393"/>
    </row>
    <row r="481" spans="1:18" ht="30" customHeight="1" x14ac:dyDescent="0.25">
      <c r="A481" s="417" t="s">
        <v>288</v>
      </c>
      <c r="B481" s="418">
        <v>1443</v>
      </c>
      <c r="C481" s="415" t="s">
        <v>661</v>
      </c>
      <c r="D481" s="416"/>
      <c r="E481" s="540" t="s">
        <v>291</v>
      </c>
      <c r="F481" s="541" t="s">
        <v>9</v>
      </c>
      <c r="G481" s="123" t="s">
        <v>375</v>
      </c>
      <c r="H481" s="568">
        <v>7330</v>
      </c>
      <c r="I481" s="540" t="s">
        <v>292</v>
      </c>
      <c r="J481" s="488" t="s">
        <v>617</v>
      </c>
      <c r="K481" s="488"/>
      <c r="L481" s="489"/>
      <c r="M481" s="419"/>
      <c r="N481" s="420"/>
      <c r="O481"/>
      <c r="P481" s="412"/>
      <c r="Q481" s="391"/>
      <c r="R481" s="393"/>
    </row>
    <row r="482" spans="1:18" ht="30" customHeight="1" x14ac:dyDescent="0.25">
      <c r="A482" s="421" t="s">
        <v>529</v>
      </c>
      <c r="B482" s="569" t="s">
        <v>560</v>
      </c>
      <c r="C482" s="570"/>
      <c r="D482" s="571"/>
      <c r="E482" s="546" t="s">
        <v>519</v>
      </c>
      <c r="F482" s="546" t="s">
        <v>561</v>
      </c>
      <c r="G482" s="288" t="s">
        <v>562</v>
      </c>
      <c r="H482" s="442"/>
      <c r="I482" s="549" t="s">
        <v>530</v>
      </c>
      <c r="J482" s="549"/>
      <c r="K482" s="288" t="s">
        <v>521</v>
      </c>
      <c r="L482" s="289"/>
      <c r="M482" s="419"/>
      <c r="N482" s="420"/>
      <c r="O482"/>
      <c r="P482" s="412"/>
      <c r="Q482" s="391"/>
      <c r="R482" s="393"/>
    </row>
    <row r="483" spans="1:18" ht="30" customHeight="1" x14ac:dyDescent="0.25">
      <c r="A483" s="10" t="s">
        <v>662</v>
      </c>
      <c r="B483" s="323" t="s">
        <v>663</v>
      </c>
      <c r="C483" s="324"/>
      <c r="D483" s="325"/>
      <c r="E483" s="326">
        <v>74.510000000000005</v>
      </c>
      <c r="F483" s="10" t="s">
        <v>9</v>
      </c>
      <c r="G483" s="550"/>
      <c r="H483" s="336"/>
      <c r="I483" s="10">
        <v>1.06</v>
      </c>
      <c r="J483" s="10"/>
      <c r="K483" s="326">
        <f>+E483*I483</f>
        <v>78.98060000000001</v>
      </c>
      <c r="L483" s="10" t="s">
        <v>9</v>
      </c>
      <c r="M483" s="419"/>
      <c r="N483" s="420"/>
      <c r="O483"/>
      <c r="P483" s="412"/>
      <c r="Q483" s="391"/>
      <c r="R483" s="393"/>
    </row>
    <row r="484" spans="1:18" ht="30" customHeight="1" x14ac:dyDescent="0.25">
      <c r="A484" s="10" t="s">
        <v>664</v>
      </c>
      <c r="B484" s="323" t="s">
        <v>665</v>
      </c>
      <c r="C484" s="324"/>
      <c r="D484" s="325"/>
      <c r="E484" s="326">
        <f>(19.15+29.75)/2</f>
        <v>24.45</v>
      </c>
      <c r="F484" s="10" t="s">
        <v>666</v>
      </c>
      <c r="G484" s="550">
        <v>162</v>
      </c>
      <c r="H484" s="336" t="s">
        <v>9</v>
      </c>
      <c r="I484" s="10">
        <v>1.02</v>
      </c>
      <c r="J484" s="10"/>
      <c r="K484" s="326">
        <f>+E484*G484/H481*I484</f>
        <v>0.55117571623465211</v>
      </c>
      <c r="L484" s="10" t="s">
        <v>9</v>
      </c>
      <c r="M484" s="419"/>
      <c r="N484" s="420"/>
      <c r="O484"/>
      <c r="P484" s="412"/>
      <c r="Q484" s="391"/>
      <c r="R484" s="393"/>
    </row>
    <row r="485" spans="1:18" ht="30" customHeight="1" x14ac:dyDescent="0.25">
      <c r="A485" s="10" t="s">
        <v>664</v>
      </c>
      <c r="B485" s="334" t="s">
        <v>667</v>
      </c>
      <c r="C485" s="335"/>
      <c r="D485" s="336"/>
      <c r="E485" s="326">
        <f>(1610+2280)/2</f>
        <v>1945</v>
      </c>
      <c r="F485" s="10" t="s">
        <v>11</v>
      </c>
      <c r="G485" s="550">
        <v>1</v>
      </c>
      <c r="H485" s="336" t="s">
        <v>11</v>
      </c>
      <c r="I485" s="10">
        <v>1.02</v>
      </c>
      <c r="J485" s="10"/>
      <c r="K485" s="326">
        <f>+E485/H481*I485</f>
        <v>0.27065484311050481</v>
      </c>
      <c r="L485" s="10" t="s">
        <v>9</v>
      </c>
      <c r="M485" s="419"/>
      <c r="N485" s="420"/>
      <c r="O485"/>
      <c r="P485" s="412"/>
      <c r="Q485" s="391"/>
      <c r="R485" s="393"/>
    </row>
    <row r="486" spans="1:18" ht="30" customHeight="1" x14ac:dyDescent="0.25">
      <c r="A486" s="10" t="s">
        <v>668</v>
      </c>
      <c r="B486" s="323" t="s">
        <v>669</v>
      </c>
      <c r="C486" s="324"/>
      <c r="D486" s="325"/>
      <c r="E486" s="326">
        <f>+(31.5+75)/2</f>
        <v>53.25</v>
      </c>
      <c r="F486" s="10" t="s">
        <v>11</v>
      </c>
      <c r="G486" s="572">
        <f>+E486/$H$481</f>
        <v>7.2646657571623467E-3</v>
      </c>
      <c r="H486" s="336" t="s">
        <v>670</v>
      </c>
      <c r="I486" s="10">
        <v>1.04</v>
      </c>
      <c r="J486" s="10"/>
      <c r="K486" s="326">
        <f>+G486*I486</f>
        <v>7.5552523874488405E-3</v>
      </c>
      <c r="L486" s="10" t="s">
        <v>9</v>
      </c>
      <c r="M486" s="419"/>
      <c r="N486" s="420"/>
      <c r="O486"/>
      <c r="P486" s="412"/>
      <c r="Q486" s="391"/>
      <c r="R486" s="393"/>
    </row>
    <row r="487" spans="1:18" ht="30" customHeight="1" x14ac:dyDescent="0.25">
      <c r="A487" s="10" t="s">
        <v>668</v>
      </c>
      <c r="B487" s="334" t="s">
        <v>671</v>
      </c>
      <c r="C487" s="335"/>
      <c r="D487" s="336"/>
      <c r="E487" s="326">
        <f>+(5900+11300)/2</f>
        <v>8600</v>
      </c>
      <c r="F487" s="10" t="s">
        <v>11</v>
      </c>
      <c r="G487" s="572">
        <f>+E487/$H$481</f>
        <v>1.1732605729877217</v>
      </c>
      <c r="H487" s="336" t="s">
        <v>670</v>
      </c>
      <c r="I487" s="10">
        <v>1.04</v>
      </c>
      <c r="J487" s="10"/>
      <c r="K487" s="326">
        <f>+G487*I487</f>
        <v>1.2201909959072306</v>
      </c>
      <c r="L487" s="10" t="s">
        <v>9</v>
      </c>
      <c r="M487" s="419"/>
      <c r="N487" s="420"/>
      <c r="O487"/>
      <c r="P487" s="412"/>
      <c r="Q487" s="391"/>
      <c r="R487" s="393"/>
    </row>
    <row r="488" spans="1:18" ht="30" customHeight="1" x14ac:dyDescent="0.25">
      <c r="A488" s="10" t="s">
        <v>668</v>
      </c>
      <c r="B488" s="323" t="s">
        <v>672</v>
      </c>
      <c r="C488" s="324"/>
      <c r="D488" s="325"/>
      <c r="E488" s="326">
        <f>+(605+925)/2</f>
        <v>765</v>
      </c>
      <c r="F488" s="10" t="s">
        <v>11</v>
      </c>
      <c r="G488" s="572">
        <f>+E488/$H$481</f>
        <v>0.1043656207366985</v>
      </c>
      <c r="H488" s="336" t="s">
        <v>670</v>
      </c>
      <c r="I488" s="10">
        <v>1.04</v>
      </c>
      <c r="J488" s="10"/>
      <c r="K488" s="326">
        <f>+G488*I488</f>
        <v>0.10854024556616644</v>
      </c>
      <c r="L488" s="10" t="s">
        <v>9</v>
      </c>
      <c r="M488" s="419"/>
      <c r="N488" s="420"/>
      <c r="O488"/>
      <c r="P488" s="412"/>
      <c r="Q488" s="391"/>
      <c r="R488" s="393"/>
    </row>
    <row r="489" spans="1:18" ht="30" customHeight="1" x14ac:dyDescent="0.25">
      <c r="A489" s="10" t="s">
        <v>668</v>
      </c>
      <c r="B489" s="323" t="s">
        <v>673</v>
      </c>
      <c r="C489" s="324"/>
      <c r="D489" s="325"/>
      <c r="E489" s="326">
        <f>+(1060+3175)/2</f>
        <v>2117.5</v>
      </c>
      <c r="F489" s="10" t="s">
        <v>11</v>
      </c>
      <c r="G489" s="572">
        <f>+E489/$H$481</f>
        <v>0.288881309686221</v>
      </c>
      <c r="H489" s="336" t="s">
        <v>670</v>
      </c>
      <c r="I489" s="10">
        <v>1.04</v>
      </c>
      <c r="J489" s="10"/>
      <c r="K489" s="326">
        <f>+G489*I489</f>
        <v>0.30043656207366987</v>
      </c>
      <c r="L489" s="10" t="s">
        <v>9</v>
      </c>
      <c r="M489" s="419"/>
      <c r="N489" s="420"/>
      <c r="O489"/>
      <c r="P489" s="412"/>
      <c r="Q489" s="391"/>
      <c r="R489" s="393"/>
    </row>
    <row r="490" spans="1:18" s="49" customFormat="1" ht="30" customHeight="1" x14ac:dyDescent="0.25">
      <c r="A490" s="10" t="s">
        <v>644</v>
      </c>
      <c r="B490" s="323" t="s">
        <v>651</v>
      </c>
      <c r="C490" s="324"/>
      <c r="D490" s="325"/>
      <c r="E490" s="326">
        <v>4.01</v>
      </c>
      <c r="F490" s="10" t="s">
        <v>9</v>
      </c>
      <c r="G490" s="550"/>
      <c r="H490" s="336"/>
      <c r="I490" s="10">
        <v>1.06</v>
      </c>
      <c r="J490" s="10"/>
      <c r="K490" s="326">
        <f>+E490*I490</f>
        <v>4.2506000000000004</v>
      </c>
      <c r="L490" s="10" t="s">
        <v>9</v>
      </c>
      <c r="M490" s="425"/>
      <c r="N490" s="420"/>
      <c r="P490" s="412"/>
      <c r="Q490" s="391"/>
      <c r="R490" s="393"/>
    </row>
    <row r="491" spans="1:18" ht="30" customHeight="1" x14ac:dyDescent="0.25">
      <c r="A491" s="10"/>
      <c r="B491" s="552"/>
      <c r="C491" s="552"/>
      <c r="D491" s="552"/>
      <c r="E491" s="326"/>
      <c r="F491" s="10"/>
      <c r="G491" s="10"/>
      <c r="H491" s="10"/>
      <c r="I491" s="10"/>
      <c r="J491" s="10" t="s">
        <v>646</v>
      </c>
      <c r="K491" s="326">
        <f>SUM(K483:K490)</f>
        <v>85.689753615279685</v>
      </c>
      <c r="L491" s="10" t="s">
        <v>9</v>
      </c>
      <c r="M491" s="419"/>
      <c r="N491" s="420"/>
      <c r="O491"/>
      <c r="P491" s="412"/>
      <c r="Q491" s="391"/>
      <c r="R491" s="393"/>
    </row>
    <row r="492" spans="1:18" ht="30" customHeight="1" x14ac:dyDescent="0.25">
      <c r="A492" s="10"/>
      <c r="B492" s="552"/>
      <c r="C492" s="552"/>
      <c r="D492" s="552"/>
      <c r="E492" s="326"/>
      <c r="F492" s="338" t="s">
        <v>533</v>
      </c>
      <c r="G492" s="339" t="s">
        <v>534</v>
      </c>
      <c r="H492" s="339"/>
      <c r="I492" s="339"/>
      <c r="J492" s="339"/>
      <c r="K492" s="340">
        <v>1.0900000000000001</v>
      </c>
      <c r="L492" s="10"/>
      <c r="M492" s="419"/>
      <c r="N492" s="420"/>
      <c r="O492"/>
      <c r="P492" s="412"/>
      <c r="Q492" s="391"/>
      <c r="R492" s="393"/>
    </row>
    <row r="493" spans="1:18" ht="30" customHeight="1" x14ac:dyDescent="0.25">
      <c r="A493" s="10"/>
      <c r="B493" s="552"/>
      <c r="C493" s="552"/>
      <c r="D493" s="552"/>
      <c r="E493" s="326"/>
      <c r="F493" s="343"/>
      <c r="G493" s="344" t="s">
        <v>535</v>
      </c>
      <c r="H493" s="344"/>
      <c r="I493" s="344"/>
      <c r="J493" s="344"/>
      <c r="K493" s="340">
        <v>1.02</v>
      </c>
      <c r="L493" s="10"/>
      <c r="M493" s="419"/>
      <c r="N493" s="420"/>
      <c r="O493"/>
      <c r="P493" s="412"/>
      <c r="Q493" s="391"/>
      <c r="R493" s="393"/>
    </row>
    <row r="494" spans="1:18" ht="30" customHeight="1" x14ac:dyDescent="0.25">
      <c r="A494" s="10"/>
      <c r="B494" s="10"/>
      <c r="C494" s="13"/>
      <c r="D494" s="13"/>
      <c r="E494" s="13"/>
      <c r="F494" s="13"/>
      <c r="G494" s="13"/>
      <c r="H494" s="13"/>
      <c r="I494" s="13"/>
      <c r="J494" s="10" t="s">
        <v>358</v>
      </c>
      <c r="K494" s="14">
        <f>+K491*K492/K493</f>
        <v>91.57042298103417</v>
      </c>
      <c r="L494" s="10" t="s">
        <v>9</v>
      </c>
      <c r="M494" s="419"/>
      <c r="N494" s="420"/>
      <c r="O494"/>
      <c r="P494" s="412"/>
      <c r="Q494" s="391"/>
      <c r="R494" s="393"/>
    </row>
    <row r="495" spans="1:18" ht="30" customHeight="1" x14ac:dyDescent="0.25">
      <c r="A495" s="10"/>
      <c r="B495" s="10"/>
      <c r="C495" s="13"/>
      <c r="D495" s="13"/>
      <c r="E495" s="13"/>
      <c r="F495" s="13"/>
      <c r="G495" s="573" t="s">
        <v>652</v>
      </c>
      <c r="H495" s="13"/>
      <c r="I495" s="13"/>
      <c r="J495" s="361">
        <f>VLOOKUP(B481,'Mil Cost Premiums for RUCs'!$A$4:$R$265,18,FALSE)</f>
        <v>1.2551763558420395</v>
      </c>
      <c r="K495" s="14">
        <f>+K494*J495</f>
        <v>114.93702982024861</v>
      </c>
      <c r="L495" s="10" t="s">
        <v>9</v>
      </c>
      <c r="M495" s="419"/>
      <c r="N495" s="420"/>
      <c r="O495"/>
      <c r="P495" s="412"/>
      <c r="Q495" s="391"/>
      <c r="R495" s="393"/>
    </row>
    <row r="496" spans="1:18" ht="81" customHeight="1" x14ac:dyDescent="0.25">
      <c r="A496" s="574" t="s">
        <v>538</v>
      </c>
      <c r="B496" s="574"/>
      <c r="C496" s="574"/>
      <c r="D496" s="574"/>
      <c r="E496" s="574"/>
      <c r="F496" s="574"/>
      <c r="G496" s="574"/>
      <c r="H496" s="574"/>
      <c r="I496" s="574"/>
      <c r="J496" s="574"/>
      <c r="K496" s="574"/>
      <c r="L496" s="574"/>
      <c r="M496" s="419"/>
      <c r="N496" s="420"/>
      <c r="O496"/>
      <c r="P496" s="412"/>
      <c r="Q496" s="391"/>
      <c r="R496" s="393"/>
    </row>
    <row r="497" spans="1:18" ht="30" customHeight="1" x14ac:dyDescent="0.25">
      <c r="A497" s="372" t="s">
        <v>539</v>
      </c>
      <c r="B497" s="452"/>
      <c r="C497" s="575"/>
      <c r="D497" s="576" t="s">
        <v>674</v>
      </c>
      <c r="E497" s="576"/>
      <c r="F497" s="576"/>
      <c r="G497" s="576"/>
      <c r="H497" s="576"/>
      <c r="I497" s="576"/>
      <c r="J497" s="576"/>
      <c r="K497" s="576"/>
      <c r="L497" s="576"/>
      <c r="M497" s="419"/>
      <c r="N497" s="420"/>
      <c r="O497"/>
      <c r="P497" s="412"/>
      <c r="Q497" s="391"/>
      <c r="R497" s="393"/>
    </row>
    <row r="498" spans="1:18" ht="30" customHeight="1" x14ac:dyDescent="0.25">
      <c r="A498" s="372" t="s">
        <v>541</v>
      </c>
      <c r="B498" s="452"/>
      <c r="C498" s="575"/>
      <c r="D498" s="576" t="s">
        <v>675</v>
      </c>
      <c r="E498" s="576"/>
      <c r="F498" s="576"/>
      <c r="G498" s="576"/>
      <c r="H498" s="576"/>
      <c r="I498" s="576"/>
      <c r="J498" s="576"/>
      <c r="K498" s="576"/>
      <c r="L498" s="576"/>
      <c r="M498" s="419"/>
      <c r="N498" s="420"/>
      <c r="O498"/>
      <c r="P498" s="412"/>
      <c r="Q498" s="391"/>
      <c r="R498" s="393"/>
    </row>
    <row r="499" spans="1:18" ht="30" customHeight="1" x14ac:dyDescent="0.25">
      <c r="A499" s="372" t="s">
        <v>543</v>
      </c>
      <c r="B499" s="452"/>
      <c r="C499" s="575"/>
      <c r="D499" s="577" t="s">
        <v>676</v>
      </c>
      <c r="E499" s="578"/>
      <c r="F499" s="578"/>
      <c r="G499" s="578"/>
      <c r="H499" s="578"/>
      <c r="I499" s="578"/>
      <c r="J499" s="578"/>
      <c r="K499" s="578"/>
      <c r="L499" s="579"/>
      <c r="M499" s="419"/>
      <c r="N499" s="420"/>
      <c r="O499"/>
      <c r="P499" s="412"/>
      <c r="Q499" s="391"/>
      <c r="R499" s="393"/>
    </row>
    <row r="500" spans="1:18" ht="30" customHeight="1" x14ac:dyDescent="0.25">
      <c r="A500" s="372" t="s">
        <v>546</v>
      </c>
      <c r="B500" s="452"/>
      <c r="C500" s="575"/>
      <c r="D500" s="580" t="s">
        <v>677</v>
      </c>
      <c r="E500" s="532"/>
      <c r="F500" s="532"/>
      <c r="G500" s="532"/>
      <c r="H500" s="532"/>
      <c r="I500" s="532"/>
      <c r="J500" s="532"/>
      <c r="K500" s="532"/>
      <c r="L500" s="533"/>
      <c r="M500" s="419"/>
      <c r="N500" s="420"/>
      <c r="O500"/>
      <c r="P500" s="412"/>
      <c r="Q500" s="391"/>
      <c r="R500" s="393"/>
    </row>
    <row r="501" spans="1:18" ht="30" customHeight="1" x14ac:dyDescent="0.25">
      <c r="A501" s="372" t="s">
        <v>548</v>
      </c>
      <c r="B501" s="452"/>
      <c r="C501" s="575"/>
      <c r="D501" s="580" t="s">
        <v>678</v>
      </c>
      <c r="E501" s="532"/>
      <c r="F501" s="532"/>
      <c r="G501" s="532"/>
      <c r="H501" s="532"/>
      <c r="I501" s="532"/>
      <c r="J501" s="532"/>
      <c r="K501" s="532"/>
      <c r="L501" s="533"/>
      <c r="M501" s="419"/>
      <c r="N501" s="420"/>
      <c r="O501"/>
      <c r="P501" s="412"/>
      <c r="Q501" s="391"/>
      <c r="R501" s="393"/>
    </row>
    <row r="502" spans="1:18" ht="30" customHeight="1" x14ac:dyDescent="0.25">
      <c r="A502" s="372" t="s">
        <v>550</v>
      </c>
      <c r="B502" s="452"/>
      <c r="C502" s="575"/>
      <c r="D502" s="580" t="s">
        <v>679</v>
      </c>
      <c r="E502" s="532"/>
      <c r="F502" s="532"/>
      <c r="G502" s="532"/>
      <c r="H502" s="532"/>
      <c r="I502" s="532"/>
      <c r="J502" s="532"/>
      <c r="K502" s="532"/>
      <c r="L502" s="533"/>
      <c r="M502" s="419"/>
      <c r="N502" s="420"/>
      <c r="O502"/>
      <c r="P502" s="412"/>
      <c r="Q502" s="391"/>
      <c r="R502" s="393"/>
    </row>
    <row r="503" spans="1:18" ht="30" customHeight="1" x14ac:dyDescent="0.25">
      <c r="A503" s="372" t="s">
        <v>552</v>
      </c>
      <c r="B503" s="452"/>
      <c r="C503" s="575"/>
      <c r="D503" s="580" t="s">
        <v>680</v>
      </c>
      <c r="E503" s="532"/>
      <c r="F503" s="532"/>
      <c r="G503" s="532"/>
      <c r="H503" s="532"/>
      <c r="I503" s="532"/>
      <c r="J503" s="532"/>
      <c r="K503" s="532"/>
      <c r="L503" s="533"/>
      <c r="M503" s="419"/>
      <c r="N503" s="420"/>
      <c r="O503"/>
      <c r="P503" s="412"/>
      <c r="Q503" s="391"/>
      <c r="R503" s="393"/>
    </row>
    <row r="504" spans="1:18" ht="75" customHeight="1" x14ac:dyDescent="0.25">
      <c r="A504" s="381" t="s">
        <v>553</v>
      </c>
      <c r="B504" s="462"/>
      <c r="C504" s="462"/>
      <c r="D504" s="581" t="s">
        <v>660</v>
      </c>
      <c r="E504" s="582"/>
      <c r="F504" s="582"/>
      <c r="G504" s="582"/>
      <c r="H504" s="582"/>
      <c r="I504" s="582"/>
      <c r="J504" s="582"/>
      <c r="K504" s="582"/>
      <c r="L504" s="582"/>
      <c r="M504" s="419"/>
      <c r="N504" s="420"/>
      <c r="O504"/>
      <c r="P504" s="412"/>
      <c r="Q504" s="391"/>
      <c r="R504" s="393"/>
    </row>
    <row r="505" spans="1:18" ht="75" customHeight="1" thickBot="1" x14ac:dyDescent="0.3">
      <c r="A505" s="583" t="s">
        <v>556</v>
      </c>
      <c r="B505" s="584"/>
      <c r="C505" s="585"/>
      <c r="D505" s="580" t="s">
        <v>681</v>
      </c>
      <c r="E505" s="532"/>
      <c r="F505" s="532"/>
      <c r="G505" s="532"/>
      <c r="H505" s="532"/>
      <c r="I505" s="532"/>
      <c r="J505" s="532"/>
      <c r="K505" s="532"/>
      <c r="L505" s="533"/>
      <c r="M505" s="419"/>
      <c r="N505" s="420"/>
      <c r="O505"/>
      <c r="P505" s="412"/>
      <c r="Q505" s="391"/>
      <c r="R505" s="393"/>
    </row>
    <row r="506" spans="1:18" ht="30" customHeight="1" thickBot="1" x14ac:dyDescent="0.3">
      <c r="A506" s="76"/>
      <c r="B506" s="77"/>
      <c r="C506" s="77"/>
      <c r="D506" s="77"/>
      <c r="E506" s="77"/>
      <c r="F506" s="77"/>
      <c r="G506" s="77"/>
      <c r="H506" s="77"/>
      <c r="I506" s="77"/>
      <c r="J506" s="77"/>
      <c r="K506" s="77"/>
      <c r="L506" s="78"/>
      <c r="M506" s="419"/>
      <c r="N506" s="420"/>
      <c r="O506"/>
      <c r="P506" s="412"/>
      <c r="Q506" s="391"/>
      <c r="R506" s="393"/>
    </row>
    <row r="507" spans="1:18" ht="30" customHeight="1" x14ac:dyDescent="0.25">
      <c r="A507" s="207" t="s">
        <v>288</v>
      </c>
      <c r="B507" s="208">
        <v>1444</v>
      </c>
      <c r="C507" s="282" t="s">
        <v>682</v>
      </c>
      <c r="D507" s="283"/>
      <c r="E507" s="177" t="s">
        <v>291</v>
      </c>
      <c r="F507" s="178" t="s">
        <v>9</v>
      </c>
      <c r="G507" s="123" t="s">
        <v>375</v>
      </c>
      <c r="H507" s="302">
        <v>4868</v>
      </c>
      <c r="I507" s="177" t="s">
        <v>292</v>
      </c>
      <c r="J507" s="38" t="s">
        <v>516</v>
      </c>
      <c r="K507" s="39"/>
      <c r="L507" s="40"/>
      <c r="M507" s="419"/>
      <c r="N507" s="420"/>
      <c r="O507"/>
      <c r="P507" s="412"/>
      <c r="Q507" s="391"/>
      <c r="R507" s="393"/>
    </row>
    <row r="508" spans="1:18" ht="30" customHeight="1" x14ac:dyDescent="0.25">
      <c r="A508" s="181" t="s">
        <v>517</v>
      </c>
      <c r="B508" s="180" t="s">
        <v>295</v>
      </c>
      <c r="C508" s="180"/>
      <c r="D508" s="180"/>
      <c r="E508" s="182" t="s">
        <v>518</v>
      </c>
      <c r="F508" s="285" t="s">
        <v>519</v>
      </c>
      <c r="G508" s="181"/>
      <c r="H508" s="181"/>
      <c r="I508" s="286" t="s">
        <v>520</v>
      </c>
      <c r="J508" s="287"/>
      <c r="K508" s="288" t="s">
        <v>521</v>
      </c>
      <c r="L508" s="289"/>
      <c r="M508" s="419"/>
      <c r="N508" s="420"/>
      <c r="O508"/>
      <c r="P508" s="412"/>
      <c r="Q508" s="391"/>
      <c r="R508" s="393"/>
    </row>
    <row r="509" spans="1:18" ht="30" customHeight="1" x14ac:dyDescent="0.25">
      <c r="A509" s="290" t="s">
        <v>522</v>
      </c>
      <c r="B509" s="214" t="s">
        <v>683</v>
      </c>
      <c r="C509" s="214"/>
      <c r="D509" s="214"/>
      <c r="E509" s="291">
        <v>33000</v>
      </c>
      <c r="F509" s="292">
        <v>278</v>
      </c>
      <c r="G509" s="293"/>
      <c r="H509" s="294"/>
      <c r="I509" s="295" t="s">
        <v>524</v>
      </c>
      <c r="J509" s="296"/>
      <c r="K509" s="292">
        <f>+F509</f>
        <v>278</v>
      </c>
      <c r="L509" s="290" t="s">
        <v>9</v>
      </c>
      <c r="M509" s="419"/>
      <c r="N509" s="420"/>
      <c r="O509"/>
      <c r="P509" s="412"/>
      <c r="Q509" s="391"/>
      <c r="R509" s="393"/>
    </row>
    <row r="510" spans="1:18" ht="30" customHeight="1" thickBot="1" x14ac:dyDescent="0.3">
      <c r="A510" s="20"/>
      <c r="B510" s="191"/>
      <c r="C510" s="191"/>
      <c r="D510" s="191"/>
      <c r="E510" s="297"/>
      <c r="F510" s="298"/>
      <c r="G510" s="298"/>
      <c r="H510" s="299"/>
      <c r="I510" s="18"/>
      <c r="J510" s="116" t="s">
        <v>358</v>
      </c>
      <c r="K510" s="301">
        <f>+K509</f>
        <v>278</v>
      </c>
      <c r="L510" s="20" t="s">
        <v>9</v>
      </c>
      <c r="M510" s="419"/>
      <c r="N510" s="420"/>
      <c r="O510"/>
      <c r="P510" s="412"/>
      <c r="Q510" s="391"/>
      <c r="R510" s="393"/>
    </row>
    <row r="511" spans="1:18" ht="30" customHeight="1" thickBot="1" x14ac:dyDescent="0.3">
      <c r="A511" s="76"/>
      <c r="B511" s="77"/>
      <c r="C511" s="77"/>
      <c r="D511" s="77"/>
      <c r="E511" s="77"/>
      <c r="F511" s="77"/>
      <c r="G511" s="77"/>
      <c r="H511" s="77"/>
      <c r="I511" s="77"/>
      <c r="J511" s="77"/>
      <c r="K511" s="77"/>
      <c r="L511" s="78"/>
      <c r="M511" s="419"/>
      <c r="N511" s="420"/>
      <c r="O511"/>
      <c r="P511" s="412"/>
      <c r="Q511" s="391"/>
      <c r="R511" s="393"/>
    </row>
    <row r="512" spans="1:18" ht="30" customHeight="1" x14ac:dyDescent="0.25">
      <c r="A512" s="207" t="s">
        <v>288</v>
      </c>
      <c r="B512" s="208">
        <v>1445</v>
      </c>
      <c r="C512" s="282" t="s">
        <v>684</v>
      </c>
      <c r="D512" s="283"/>
      <c r="E512" s="177" t="s">
        <v>291</v>
      </c>
      <c r="F512" s="178" t="s">
        <v>9</v>
      </c>
      <c r="G512" s="123" t="s">
        <v>375</v>
      </c>
      <c r="H512" s="302">
        <v>3342</v>
      </c>
      <c r="I512" s="177" t="s">
        <v>292</v>
      </c>
      <c r="J512" s="38" t="s">
        <v>623</v>
      </c>
      <c r="K512" s="39"/>
      <c r="L512" s="40"/>
      <c r="M512" s="419"/>
      <c r="N512" s="420"/>
      <c r="O512"/>
      <c r="P512" s="412"/>
      <c r="Q512" s="391"/>
      <c r="R512" s="393"/>
    </row>
    <row r="513" spans="1:21" ht="30" customHeight="1" x14ac:dyDescent="0.25">
      <c r="A513" s="181" t="s">
        <v>517</v>
      </c>
      <c r="B513" s="180" t="s">
        <v>295</v>
      </c>
      <c r="C513" s="180"/>
      <c r="D513" s="180"/>
      <c r="E513" s="182" t="s">
        <v>518</v>
      </c>
      <c r="F513" s="285" t="s">
        <v>519</v>
      </c>
      <c r="G513" s="181"/>
      <c r="H513" s="181"/>
      <c r="I513" s="286" t="s">
        <v>520</v>
      </c>
      <c r="J513" s="287"/>
      <c r="K513" s="288" t="s">
        <v>521</v>
      </c>
      <c r="L513" s="289"/>
      <c r="M513" s="419"/>
      <c r="N513" s="420"/>
      <c r="O513"/>
      <c r="P513" s="412"/>
      <c r="Q513" s="391"/>
      <c r="R513" s="393"/>
    </row>
    <row r="514" spans="1:21" ht="30" customHeight="1" x14ac:dyDescent="0.25">
      <c r="A514" s="20">
        <v>14126</v>
      </c>
      <c r="B514" s="503" t="s">
        <v>685</v>
      </c>
      <c r="C514" s="504"/>
      <c r="D514" s="505"/>
      <c r="E514" s="291">
        <v>2770</v>
      </c>
      <c r="F514" s="303">
        <v>472</v>
      </c>
      <c r="G514" s="293"/>
      <c r="H514" s="294"/>
      <c r="I514" s="295">
        <f>+'MILCON Inflation Table'!F17</f>
        <v>0.9432470865927236</v>
      </c>
      <c r="J514" s="296"/>
      <c r="K514" s="304">
        <f>+F514*I514</f>
        <v>445.21262487176557</v>
      </c>
      <c r="L514" s="290" t="s">
        <v>9</v>
      </c>
      <c r="M514" s="419"/>
      <c r="N514" s="420"/>
      <c r="O514"/>
      <c r="P514" s="412"/>
      <c r="Q514" s="391"/>
      <c r="R514" s="393"/>
    </row>
    <row r="515" spans="1:21" ht="30" customHeight="1" thickBot="1" x14ac:dyDescent="0.3">
      <c r="A515" s="20"/>
      <c r="B515" s="191"/>
      <c r="C515" s="191"/>
      <c r="D515" s="191"/>
      <c r="E515" s="586"/>
      <c r="F515" s="587"/>
      <c r="G515" s="587"/>
      <c r="H515" s="588"/>
      <c r="I515" s="18"/>
      <c r="J515" s="116" t="s">
        <v>358</v>
      </c>
      <c r="K515" s="305">
        <f>+K514</f>
        <v>445.21262487176557</v>
      </c>
      <c r="L515" s="20" t="s">
        <v>9</v>
      </c>
      <c r="P515" s="43"/>
      <c r="Q515" s="43"/>
      <c r="R515" s="43"/>
      <c r="S515" s="60"/>
      <c r="T515" s="60"/>
      <c r="U515" s="43"/>
    </row>
    <row r="516" spans="1:21" s="49" customFormat="1" ht="30" customHeight="1" thickBot="1" x14ac:dyDescent="0.3">
      <c r="A516" s="76"/>
      <c r="B516" s="77"/>
      <c r="C516" s="77"/>
      <c r="D516" s="77"/>
      <c r="E516" s="77"/>
      <c r="F516" s="77"/>
      <c r="G516" s="77"/>
      <c r="H516" s="77"/>
      <c r="I516" s="77"/>
      <c r="J516" s="77"/>
      <c r="K516" s="77"/>
      <c r="L516" s="78"/>
      <c r="M516" s="502"/>
      <c r="N516" s="502"/>
      <c r="O516" s="27"/>
      <c r="P516" s="50"/>
      <c r="Q516" s="50"/>
      <c r="R516" s="50"/>
      <c r="S516" s="212"/>
      <c r="T516" s="212"/>
      <c r="U516" s="50"/>
    </row>
    <row r="517" spans="1:21" s="41" customFormat="1" ht="30" customHeight="1" x14ac:dyDescent="0.25">
      <c r="A517" s="417" t="s">
        <v>288</v>
      </c>
      <c r="B517" s="418">
        <v>1446</v>
      </c>
      <c r="C517" s="415" t="s">
        <v>686</v>
      </c>
      <c r="D517" s="416"/>
      <c r="E517" s="540" t="s">
        <v>291</v>
      </c>
      <c r="F517" s="541" t="s">
        <v>9</v>
      </c>
      <c r="G517" s="123" t="s">
        <v>375</v>
      </c>
      <c r="H517" s="542">
        <v>12215</v>
      </c>
      <c r="I517" s="540" t="s">
        <v>292</v>
      </c>
      <c r="J517" s="488" t="s">
        <v>617</v>
      </c>
      <c r="K517" s="488"/>
      <c r="L517" s="489"/>
      <c r="M517" s="341"/>
      <c r="N517" s="342"/>
      <c r="O517" s="42"/>
    </row>
    <row r="518" spans="1:21" ht="30" customHeight="1" x14ac:dyDescent="0.25">
      <c r="A518" s="421" t="s">
        <v>529</v>
      </c>
      <c r="B518" s="543" t="s">
        <v>560</v>
      </c>
      <c r="C518" s="544"/>
      <c r="D518" s="545"/>
      <c r="E518" s="546" t="s">
        <v>519</v>
      </c>
      <c r="F518" s="546" t="s">
        <v>561</v>
      </c>
      <c r="G518" s="547" t="s">
        <v>562</v>
      </c>
      <c r="H518" s="548"/>
      <c r="I518" s="549" t="s">
        <v>530</v>
      </c>
      <c r="J518" s="549"/>
      <c r="K518" s="288" t="s">
        <v>521</v>
      </c>
      <c r="L518" s="289"/>
    </row>
    <row r="519" spans="1:21" ht="30" customHeight="1" x14ac:dyDescent="0.25">
      <c r="A519" s="10" t="s">
        <v>687</v>
      </c>
      <c r="B519" s="323" t="s">
        <v>688</v>
      </c>
      <c r="C519" s="324"/>
      <c r="D519" s="325"/>
      <c r="E519" s="326">
        <v>161.12</v>
      </c>
      <c r="F519" s="10" t="s">
        <v>9</v>
      </c>
      <c r="G519" s="550"/>
      <c r="H519" s="336"/>
      <c r="I519" s="10">
        <v>1.04</v>
      </c>
      <c r="J519" s="10"/>
      <c r="K519" s="326">
        <f>+E519*I519</f>
        <v>167.56480000000002</v>
      </c>
      <c r="L519" s="10" t="s">
        <v>9</v>
      </c>
      <c r="M519" s="43"/>
    </row>
    <row r="520" spans="1:21" ht="30" customHeight="1" x14ac:dyDescent="0.25">
      <c r="A520" s="10" t="s">
        <v>689</v>
      </c>
      <c r="B520" s="323" t="s">
        <v>690</v>
      </c>
      <c r="C520" s="324"/>
      <c r="D520" s="325"/>
      <c r="E520" s="326">
        <v>53500</v>
      </c>
      <c r="F520" s="10" t="s">
        <v>11</v>
      </c>
      <c r="G520" s="589">
        <f>E520/H517</f>
        <v>4.379860826852231</v>
      </c>
      <c r="H520" s="336" t="s">
        <v>9</v>
      </c>
      <c r="I520" s="10">
        <v>1.04</v>
      </c>
      <c r="J520" s="10"/>
      <c r="K520" s="326">
        <f>G520*I520</f>
        <v>4.5550552599263208</v>
      </c>
      <c r="L520" s="10" t="s">
        <v>9</v>
      </c>
      <c r="P520" s="43"/>
      <c r="Q520" s="43"/>
      <c r="R520" s="43"/>
      <c r="S520" s="60"/>
      <c r="T520" s="60"/>
      <c r="U520" s="43"/>
    </row>
    <row r="521" spans="1:21" s="49" customFormat="1" ht="30" customHeight="1" x14ac:dyDescent="0.25">
      <c r="A521" s="10" t="s">
        <v>691</v>
      </c>
      <c r="B521" s="323" t="s">
        <v>692</v>
      </c>
      <c r="C521" s="324"/>
      <c r="D521" s="325"/>
      <c r="E521" s="326">
        <v>3.44</v>
      </c>
      <c r="F521" s="10" t="s">
        <v>9</v>
      </c>
      <c r="G521" s="550"/>
      <c r="H521" s="336"/>
      <c r="I521" s="10">
        <v>1.04</v>
      </c>
      <c r="J521" s="10"/>
      <c r="K521" s="326">
        <f>+E521*I521</f>
        <v>3.5775999999999999</v>
      </c>
      <c r="L521" s="10" t="s">
        <v>9</v>
      </c>
      <c r="M521" s="502"/>
      <c r="N521" s="502"/>
      <c r="O521" s="27"/>
      <c r="P521" s="50"/>
      <c r="Q521" s="50"/>
      <c r="R521" s="50"/>
      <c r="S521" s="212"/>
      <c r="T521" s="212"/>
      <c r="U521" s="50"/>
    </row>
    <row r="522" spans="1:21" s="41" customFormat="1" ht="30" customHeight="1" x14ac:dyDescent="0.25">
      <c r="A522" s="10"/>
      <c r="B522" s="551"/>
      <c r="C522" s="551"/>
      <c r="D522" s="551"/>
      <c r="E522" s="326"/>
      <c r="F522" s="10"/>
      <c r="G522" s="10"/>
      <c r="H522" s="10"/>
      <c r="I522" s="10"/>
      <c r="J522" s="10" t="s">
        <v>646</v>
      </c>
      <c r="K522" s="326">
        <f>SUM(K519:K521)</f>
        <v>175.69745525992633</v>
      </c>
      <c r="L522" s="10" t="s">
        <v>9</v>
      </c>
      <c r="M522" s="341"/>
      <c r="N522" s="342"/>
      <c r="O522" s="42"/>
    </row>
    <row r="523" spans="1:21" ht="30" customHeight="1" x14ac:dyDescent="0.25">
      <c r="A523" s="10"/>
      <c r="B523" s="552"/>
      <c r="C523" s="552"/>
      <c r="D523" s="552"/>
      <c r="E523" s="326"/>
      <c r="F523" s="338" t="s">
        <v>533</v>
      </c>
      <c r="G523" s="339" t="s">
        <v>534</v>
      </c>
      <c r="H523" s="339"/>
      <c r="I523" s="339"/>
      <c r="J523" s="339"/>
      <c r="K523" s="340">
        <v>1.0900000000000001</v>
      </c>
      <c r="L523" s="10"/>
    </row>
    <row r="524" spans="1:21" ht="30" customHeight="1" x14ac:dyDescent="0.25">
      <c r="A524" s="10"/>
      <c r="B524" s="552"/>
      <c r="C524" s="552"/>
      <c r="D524" s="552"/>
      <c r="E524" s="326"/>
      <c r="F524" s="343"/>
      <c r="G524" s="344" t="s">
        <v>535</v>
      </c>
      <c r="H524" s="344"/>
      <c r="I524" s="344"/>
      <c r="J524" s="344"/>
      <c r="K524" s="340">
        <v>1.02</v>
      </c>
      <c r="L524" s="10"/>
      <c r="M524" s="43"/>
    </row>
    <row r="525" spans="1:21" ht="30" customHeight="1" x14ac:dyDescent="0.25">
      <c r="A525" s="10"/>
      <c r="B525" s="10"/>
      <c r="C525" s="13"/>
      <c r="D525" s="13"/>
      <c r="E525" s="13"/>
      <c r="F525" s="13"/>
      <c r="G525" s="13"/>
      <c r="H525" s="13"/>
      <c r="I525" s="13"/>
      <c r="J525" s="10" t="s">
        <v>358</v>
      </c>
      <c r="K525" s="14">
        <f>+K522*K523/K524</f>
        <v>187.75512375815657</v>
      </c>
      <c r="L525" s="10" t="s">
        <v>9</v>
      </c>
      <c r="M525" s="419"/>
      <c r="N525" s="420"/>
      <c r="O525"/>
      <c r="P525" s="412"/>
      <c r="Q525" s="391"/>
      <c r="R525" s="393"/>
    </row>
    <row r="526" spans="1:21" s="49" customFormat="1" ht="30" customHeight="1" x14ac:dyDescent="0.25">
      <c r="A526" s="10"/>
      <c r="B526" s="10"/>
      <c r="C526" s="13"/>
      <c r="D526" s="13"/>
      <c r="E526" s="13"/>
      <c r="F526" s="13"/>
      <c r="G526" s="573" t="s">
        <v>652</v>
      </c>
      <c r="H526" s="13"/>
      <c r="I526" s="13"/>
      <c r="J526" s="361">
        <f>VLOOKUP(B517,'Mil Cost Premiums for RUCs'!$A$4:$R$265,18,FALSE)</f>
        <v>1.3279641928993471</v>
      </c>
      <c r="K526" s="14">
        <f>+K525*J526</f>
        <v>249.33208138421742</v>
      </c>
      <c r="L526" s="10" t="s">
        <v>9</v>
      </c>
      <c r="M526" s="425"/>
      <c r="N526" s="420"/>
      <c r="P526" s="412"/>
      <c r="Q526" s="391"/>
      <c r="R526" s="393"/>
    </row>
    <row r="527" spans="1:21" ht="75" customHeight="1" x14ac:dyDescent="0.25">
      <c r="A527" s="580" t="s">
        <v>538</v>
      </c>
      <c r="B527" s="532"/>
      <c r="C527" s="532"/>
      <c r="D527" s="532"/>
      <c r="E527" s="532"/>
      <c r="F527" s="532"/>
      <c r="G527" s="532"/>
      <c r="H527" s="532"/>
      <c r="I527" s="532"/>
      <c r="J527" s="532"/>
      <c r="K527" s="532"/>
      <c r="L527" s="533"/>
      <c r="M527" s="419"/>
      <c r="N527" s="420"/>
      <c r="O527"/>
      <c r="P527" s="412"/>
      <c r="Q527" s="391"/>
      <c r="R527" s="393"/>
    </row>
    <row r="528" spans="1:21" ht="30" customHeight="1" x14ac:dyDescent="0.25">
      <c r="A528" s="372" t="s">
        <v>539</v>
      </c>
      <c r="B528" s="452"/>
      <c r="C528" s="452"/>
      <c r="D528" s="563" t="s">
        <v>693</v>
      </c>
      <c r="E528" s="590"/>
      <c r="F528" s="590"/>
      <c r="G528" s="590"/>
      <c r="H528" s="590"/>
      <c r="I528" s="590"/>
      <c r="J528" s="590"/>
      <c r="K528" s="590"/>
      <c r="L528" s="591"/>
      <c r="M528" s="419"/>
      <c r="N528" s="420"/>
      <c r="O528"/>
      <c r="P528" s="412"/>
      <c r="Q528" s="391"/>
      <c r="R528" s="393"/>
    </row>
    <row r="529" spans="1:18" ht="30" customHeight="1" x14ac:dyDescent="0.25">
      <c r="A529" s="372" t="s">
        <v>541</v>
      </c>
      <c r="B529" s="452"/>
      <c r="C529" s="452"/>
      <c r="D529" s="386" t="s">
        <v>694</v>
      </c>
      <c r="E529" s="590"/>
      <c r="F529" s="590"/>
      <c r="G529" s="590"/>
      <c r="H529" s="590"/>
      <c r="I529" s="590"/>
      <c r="J529" s="590"/>
      <c r="K529" s="590"/>
      <c r="L529" s="591"/>
      <c r="M529" s="419"/>
      <c r="N529" s="420"/>
      <c r="O529"/>
      <c r="P529" s="412"/>
      <c r="Q529" s="391"/>
      <c r="R529" s="393"/>
    </row>
    <row r="530" spans="1:18" ht="30" customHeight="1" x14ac:dyDescent="0.25">
      <c r="A530" s="372" t="s">
        <v>543</v>
      </c>
      <c r="B530" s="452"/>
      <c r="C530" s="452"/>
      <c r="D530" s="386" t="s">
        <v>695</v>
      </c>
      <c r="E530" s="378"/>
      <c r="F530" s="378"/>
      <c r="G530" s="378"/>
      <c r="H530" s="378"/>
      <c r="I530" s="378"/>
      <c r="J530" s="378"/>
      <c r="K530" s="378"/>
      <c r="L530" s="379"/>
      <c r="M530" s="419"/>
      <c r="N530" s="420"/>
      <c r="O530"/>
      <c r="P530" s="412"/>
      <c r="Q530" s="391"/>
      <c r="R530" s="393"/>
    </row>
    <row r="531" spans="1:18" ht="30" customHeight="1" x14ac:dyDescent="0.25">
      <c r="A531" s="372" t="s">
        <v>546</v>
      </c>
      <c r="B531" s="452"/>
      <c r="C531" s="452"/>
      <c r="D531" s="386" t="s">
        <v>696</v>
      </c>
      <c r="E531" s="590"/>
      <c r="F531" s="590"/>
      <c r="G531" s="590"/>
      <c r="H531" s="590"/>
      <c r="I531" s="590"/>
      <c r="J531" s="590"/>
      <c r="K531" s="590"/>
      <c r="L531" s="591"/>
      <c r="M531" s="419"/>
      <c r="N531" s="420"/>
      <c r="O531"/>
      <c r="P531" s="412"/>
      <c r="Q531" s="391"/>
      <c r="R531" s="393"/>
    </row>
    <row r="532" spans="1:18" ht="30" customHeight="1" x14ac:dyDescent="0.25">
      <c r="A532" s="372" t="s">
        <v>548</v>
      </c>
      <c r="B532" s="452"/>
      <c r="C532" s="452"/>
      <c r="D532" s="386" t="s">
        <v>697</v>
      </c>
      <c r="E532" s="590"/>
      <c r="F532" s="590"/>
      <c r="G532" s="590"/>
      <c r="H532" s="590"/>
      <c r="I532" s="590"/>
      <c r="J532" s="590"/>
      <c r="K532" s="590"/>
      <c r="L532" s="591"/>
      <c r="M532" s="419"/>
      <c r="N532" s="420"/>
      <c r="O532"/>
      <c r="P532" s="412"/>
      <c r="Q532" s="391"/>
      <c r="R532" s="393"/>
    </row>
    <row r="533" spans="1:18" ht="30" customHeight="1" x14ac:dyDescent="0.25">
      <c r="A533" s="372" t="s">
        <v>550</v>
      </c>
      <c r="B533" s="452"/>
      <c r="C533" s="452"/>
      <c r="D533" s="563" t="s">
        <v>698</v>
      </c>
      <c r="E533" s="590"/>
      <c r="F533" s="590"/>
      <c r="G533" s="590"/>
      <c r="H533" s="590"/>
      <c r="I533" s="590"/>
      <c r="J533" s="590"/>
      <c r="K533" s="590"/>
      <c r="L533" s="591"/>
      <c r="M533" s="419"/>
      <c r="N533" s="420"/>
      <c r="O533"/>
      <c r="P533" s="412"/>
      <c r="Q533" s="391"/>
      <c r="R533" s="393"/>
    </row>
    <row r="534" spans="1:18" ht="30" customHeight="1" x14ac:dyDescent="0.25">
      <c r="A534" s="372" t="s">
        <v>552</v>
      </c>
      <c r="B534" s="452"/>
      <c r="C534" s="452"/>
      <c r="D534" s="563" t="s">
        <v>699</v>
      </c>
      <c r="E534" s="590"/>
      <c r="F534" s="590"/>
      <c r="G534" s="590"/>
      <c r="H534" s="590"/>
      <c r="I534" s="590"/>
      <c r="J534" s="590"/>
      <c r="K534" s="590"/>
      <c r="L534" s="591"/>
      <c r="M534" s="419"/>
      <c r="N534" s="420"/>
      <c r="O534"/>
      <c r="P534" s="412"/>
      <c r="Q534" s="391"/>
      <c r="R534" s="393"/>
    </row>
    <row r="535" spans="1:18" ht="75" customHeight="1" thickBot="1" x14ac:dyDescent="0.3">
      <c r="A535" s="381" t="s">
        <v>553</v>
      </c>
      <c r="B535" s="462"/>
      <c r="C535" s="462"/>
      <c r="D535" s="581" t="s">
        <v>660</v>
      </c>
      <c r="E535" s="582"/>
      <c r="F535" s="582"/>
      <c r="G535" s="582"/>
      <c r="H535" s="582"/>
      <c r="I535" s="582"/>
      <c r="J535" s="582"/>
      <c r="K535" s="582"/>
      <c r="L535" s="582"/>
      <c r="M535" s="1952"/>
      <c r="N535" s="1952"/>
      <c r="O535" s="1952"/>
      <c r="P535" s="412"/>
      <c r="Q535" s="391"/>
      <c r="R535" s="393"/>
    </row>
    <row r="536" spans="1:18" ht="30" customHeight="1" thickBot="1" x14ac:dyDescent="0.3">
      <c r="A536" s="76"/>
      <c r="B536" s="77"/>
      <c r="C536" s="77"/>
      <c r="D536" s="77"/>
      <c r="E536" s="77"/>
      <c r="F536" s="77"/>
      <c r="G536" s="77"/>
      <c r="H536" s="77"/>
      <c r="I536" s="77"/>
      <c r="J536" s="77"/>
      <c r="K536" s="77"/>
      <c r="L536" s="78"/>
      <c r="M536" s="1952"/>
      <c r="N536" s="1952"/>
      <c r="O536" s="1952"/>
      <c r="P536" s="412"/>
      <c r="Q536" s="391"/>
      <c r="R536" s="393"/>
    </row>
    <row r="537" spans="1:18" ht="30" customHeight="1" x14ac:dyDescent="0.25">
      <c r="A537" s="207" t="s">
        <v>288</v>
      </c>
      <c r="B537" s="208">
        <v>1458</v>
      </c>
      <c r="C537" s="282" t="s">
        <v>700</v>
      </c>
      <c r="D537" s="283"/>
      <c r="E537" s="177" t="s">
        <v>291</v>
      </c>
      <c r="F537" s="178" t="s">
        <v>11</v>
      </c>
      <c r="G537" s="250" t="s">
        <v>290</v>
      </c>
      <c r="H537" s="302">
        <v>1</v>
      </c>
      <c r="I537" s="177" t="s">
        <v>292</v>
      </c>
      <c r="J537" s="38" t="s">
        <v>701</v>
      </c>
      <c r="K537" s="39"/>
      <c r="L537" s="40"/>
      <c r="M537" s="1952"/>
      <c r="N537" s="1952"/>
      <c r="O537" s="1952"/>
      <c r="P537" s="412"/>
      <c r="Q537" s="391"/>
      <c r="R537" s="393"/>
    </row>
    <row r="538" spans="1:18" ht="30" customHeight="1" x14ac:dyDescent="0.25">
      <c r="A538" s="181" t="s">
        <v>517</v>
      </c>
      <c r="B538" s="180" t="s">
        <v>295</v>
      </c>
      <c r="C538" s="180"/>
      <c r="D538" s="180"/>
      <c r="E538" s="182" t="s">
        <v>518</v>
      </c>
      <c r="F538" s="285" t="s">
        <v>519</v>
      </c>
      <c r="G538" s="181"/>
      <c r="H538" s="181"/>
      <c r="I538" s="286" t="s">
        <v>702</v>
      </c>
      <c r="J538" s="287"/>
      <c r="K538" s="288" t="s">
        <v>521</v>
      </c>
      <c r="L538" s="289"/>
      <c r="M538" s="1952"/>
      <c r="N538" s="1952"/>
      <c r="O538" s="1952"/>
      <c r="P538" s="412"/>
      <c r="Q538" s="391"/>
      <c r="R538" s="393"/>
    </row>
    <row r="539" spans="1:18" ht="45" customHeight="1" x14ac:dyDescent="0.25">
      <c r="A539" s="20">
        <v>88040</v>
      </c>
      <c r="B539" s="592" t="s">
        <v>703</v>
      </c>
      <c r="C539" s="592"/>
      <c r="D539" s="592"/>
      <c r="E539" s="593" t="s">
        <v>704</v>
      </c>
      <c r="F539" s="594">
        <v>140550</v>
      </c>
      <c r="G539" s="516"/>
      <c r="H539" s="517"/>
      <c r="I539" s="595">
        <f>+'MILCON Inflation Table'!$F$17</f>
        <v>0.9432470865927236</v>
      </c>
      <c r="J539" s="596"/>
      <c r="K539" s="597">
        <f t="shared" ref="K539:K546" si="0">+F539*I539</f>
        <v>132573.37802060731</v>
      </c>
      <c r="L539" s="20" t="s">
        <v>11</v>
      </c>
      <c r="M539" s="1952"/>
      <c r="N539" s="1952"/>
      <c r="O539" s="1952"/>
      <c r="P539" s="412"/>
      <c r="Q539" s="391"/>
      <c r="R539" s="393"/>
    </row>
    <row r="540" spans="1:18" ht="45" customHeight="1" x14ac:dyDescent="0.25">
      <c r="A540" s="20">
        <v>88040</v>
      </c>
      <c r="B540" s="592" t="s">
        <v>705</v>
      </c>
      <c r="C540" s="592"/>
      <c r="D540" s="592"/>
      <c r="E540" s="593" t="s">
        <v>704</v>
      </c>
      <c r="F540" s="594">
        <v>256790</v>
      </c>
      <c r="G540" s="516"/>
      <c r="H540" s="517"/>
      <c r="I540" s="595">
        <f>+'MILCON Inflation Table'!$F$17</f>
        <v>0.9432470865927236</v>
      </c>
      <c r="J540" s="596"/>
      <c r="K540" s="597">
        <f t="shared" si="0"/>
        <v>242216.41936614551</v>
      </c>
      <c r="L540" s="20" t="s">
        <v>11</v>
      </c>
      <c r="M540" s="1952"/>
      <c r="N540" s="1952"/>
      <c r="O540" s="1952"/>
      <c r="P540" s="412"/>
      <c r="Q540" s="391"/>
      <c r="R540" s="393"/>
    </row>
    <row r="541" spans="1:18" ht="57" customHeight="1" x14ac:dyDescent="0.25">
      <c r="A541" s="20">
        <v>88040</v>
      </c>
      <c r="B541" s="592" t="s">
        <v>706</v>
      </c>
      <c r="C541" s="592"/>
      <c r="D541" s="592"/>
      <c r="E541" s="593" t="s">
        <v>704</v>
      </c>
      <c r="F541" s="594">
        <v>256790</v>
      </c>
      <c r="G541" s="516"/>
      <c r="H541" s="517"/>
      <c r="I541" s="595">
        <f>+'MILCON Inflation Table'!$F$17</f>
        <v>0.9432470865927236</v>
      </c>
      <c r="J541" s="596"/>
      <c r="K541" s="597">
        <f t="shared" si="0"/>
        <v>242216.41936614551</v>
      </c>
      <c r="L541" s="20" t="s">
        <v>11</v>
      </c>
      <c r="M541" s="419"/>
      <c r="N541" s="420"/>
      <c r="O541"/>
      <c r="P541" s="412"/>
      <c r="Q541" s="391"/>
      <c r="R541" s="393"/>
    </row>
    <row r="542" spans="1:18" ht="30" customHeight="1" x14ac:dyDescent="0.25">
      <c r="A542" s="20">
        <v>88040</v>
      </c>
      <c r="B542" s="592" t="s">
        <v>707</v>
      </c>
      <c r="C542" s="592"/>
      <c r="D542" s="592"/>
      <c r="E542" s="593" t="s">
        <v>704</v>
      </c>
      <c r="F542" s="594">
        <v>50600</v>
      </c>
      <c r="G542" s="516"/>
      <c r="H542" s="517"/>
      <c r="I542" s="595">
        <f>+'MILCON Inflation Table'!$F$17</f>
        <v>0.9432470865927236</v>
      </c>
      <c r="J542" s="596"/>
      <c r="K542" s="597">
        <f t="shared" si="0"/>
        <v>47728.302581591815</v>
      </c>
      <c r="L542" s="20" t="s">
        <v>11</v>
      </c>
      <c r="M542" s="419"/>
      <c r="N542" s="420"/>
      <c r="O542"/>
      <c r="P542" s="412"/>
      <c r="Q542" s="391"/>
      <c r="R542" s="393"/>
    </row>
    <row r="543" spans="1:18" ht="30" customHeight="1" x14ac:dyDescent="0.25">
      <c r="A543" s="20">
        <v>88040</v>
      </c>
      <c r="B543" s="592" t="s">
        <v>708</v>
      </c>
      <c r="C543" s="592"/>
      <c r="D543" s="592"/>
      <c r="E543" s="593" t="s">
        <v>704</v>
      </c>
      <c r="F543" s="594">
        <v>57840</v>
      </c>
      <c r="G543" s="516"/>
      <c r="H543" s="517"/>
      <c r="I543" s="595">
        <f>+'MILCON Inflation Table'!$F$17</f>
        <v>0.9432470865927236</v>
      </c>
      <c r="J543" s="596"/>
      <c r="K543" s="597">
        <f t="shared" si="0"/>
        <v>54557.411488523132</v>
      </c>
      <c r="L543" s="20" t="s">
        <v>11</v>
      </c>
      <c r="M543" s="419"/>
      <c r="N543" s="420"/>
      <c r="O543"/>
      <c r="P543" s="412"/>
      <c r="Q543" s="391"/>
      <c r="R543" s="393"/>
    </row>
    <row r="544" spans="1:18" ht="30" customHeight="1" x14ac:dyDescent="0.25">
      <c r="A544" s="20">
        <v>88040</v>
      </c>
      <c r="B544" s="592" t="s">
        <v>709</v>
      </c>
      <c r="C544" s="592"/>
      <c r="D544" s="592"/>
      <c r="E544" s="593" t="s">
        <v>704</v>
      </c>
      <c r="F544" s="594">
        <v>61630</v>
      </c>
      <c r="G544" s="516"/>
      <c r="H544" s="517"/>
      <c r="I544" s="595">
        <f>+'MILCON Inflation Table'!$F$17</f>
        <v>0.9432470865927236</v>
      </c>
      <c r="J544" s="596"/>
      <c r="K544" s="597">
        <f t="shared" si="0"/>
        <v>58132.317946709554</v>
      </c>
      <c r="L544" s="20" t="s">
        <v>11</v>
      </c>
      <c r="M544" s="419"/>
      <c r="N544" s="420"/>
      <c r="O544"/>
      <c r="P544" s="412"/>
      <c r="Q544" s="391"/>
      <c r="R544" s="393"/>
    </row>
    <row r="545" spans="1:21" ht="30" customHeight="1" x14ac:dyDescent="0.25">
      <c r="A545" s="20">
        <v>88040</v>
      </c>
      <c r="B545" s="592" t="s">
        <v>710</v>
      </c>
      <c r="C545" s="592"/>
      <c r="D545" s="592"/>
      <c r="E545" s="593" t="s">
        <v>704</v>
      </c>
      <c r="F545" s="594">
        <v>68650</v>
      </c>
      <c r="G545" s="516"/>
      <c r="H545" s="517"/>
      <c r="I545" s="595">
        <f>+'MILCON Inflation Table'!$F$17</f>
        <v>0.9432470865927236</v>
      </c>
      <c r="J545" s="596"/>
      <c r="K545" s="597">
        <f t="shared" si="0"/>
        <v>64753.912494590477</v>
      </c>
      <c r="L545" s="20" t="s">
        <v>11</v>
      </c>
      <c r="P545" s="43"/>
      <c r="Q545" s="43"/>
      <c r="R545" s="43"/>
      <c r="S545" s="60"/>
      <c r="T545" s="60"/>
      <c r="U545" s="43"/>
    </row>
    <row r="546" spans="1:21" s="49" customFormat="1" ht="30" customHeight="1" x14ac:dyDescent="0.25">
      <c r="A546" s="20">
        <v>88040</v>
      </c>
      <c r="B546" s="191" t="s">
        <v>711</v>
      </c>
      <c r="C546" s="191"/>
      <c r="D546" s="191"/>
      <c r="E546" s="593" t="s">
        <v>704</v>
      </c>
      <c r="F546" s="594">
        <v>53960</v>
      </c>
      <c r="G546" s="516"/>
      <c r="H546" s="517"/>
      <c r="I546" s="595">
        <f>+'MILCON Inflation Table'!$F$17</f>
        <v>0.9432470865927236</v>
      </c>
      <c r="J546" s="596"/>
      <c r="K546" s="597">
        <f t="shared" si="0"/>
        <v>50897.612792543368</v>
      </c>
      <c r="L546" s="20" t="s">
        <v>11</v>
      </c>
      <c r="M546" s="502"/>
      <c r="N546" s="502"/>
      <c r="O546" s="27"/>
      <c r="P546" s="50"/>
      <c r="Q546" s="50"/>
      <c r="R546" s="50"/>
      <c r="S546" s="212"/>
      <c r="T546" s="212"/>
      <c r="U546" s="50"/>
    </row>
    <row r="547" spans="1:21" s="41" customFormat="1" ht="30" customHeight="1" thickBot="1" x14ac:dyDescent="0.3">
      <c r="A547" s="20"/>
      <c r="B547" s="191"/>
      <c r="C547" s="191"/>
      <c r="D547" s="191"/>
      <c r="E547" s="586"/>
      <c r="F547" s="587"/>
      <c r="G547" s="587"/>
      <c r="H547" s="588" t="s">
        <v>536</v>
      </c>
      <c r="I547" s="598"/>
      <c r="J547" s="599" t="s">
        <v>358</v>
      </c>
      <c r="K547" s="597">
        <f>AVERAGE(K539:K546)</f>
        <v>111634.47175710708</v>
      </c>
      <c r="L547" s="20" t="s">
        <v>11</v>
      </c>
      <c r="M547" s="341"/>
      <c r="N547" s="342"/>
      <c r="O547" s="42"/>
    </row>
    <row r="548" spans="1:21" s="41" customFormat="1" ht="30" customHeight="1" thickBot="1" x14ac:dyDescent="0.3">
      <c r="A548" s="76"/>
      <c r="B548" s="77"/>
      <c r="C548" s="77"/>
      <c r="D548" s="77"/>
      <c r="E548" s="77"/>
      <c r="F548" s="77"/>
      <c r="G548" s="77"/>
      <c r="H548" s="77"/>
      <c r="I548" s="77"/>
      <c r="J548" s="77"/>
      <c r="K548" s="77"/>
      <c r="L548" s="78"/>
      <c r="M548" s="341"/>
      <c r="N548" s="342"/>
      <c r="O548" s="42"/>
    </row>
    <row r="549" spans="1:21" s="41" customFormat="1" ht="30" customHeight="1" x14ac:dyDescent="0.25">
      <c r="A549" s="207" t="s">
        <v>288</v>
      </c>
      <c r="B549" s="208">
        <v>1459</v>
      </c>
      <c r="C549" s="282" t="s">
        <v>712</v>
      </c>
      <c r="D549" s="283"/>
      <c r="E549" s="177" t="s">
        <v>291</v>
      </c>
      <c r="F549" s="178" t="s">
        <v>9</v>
      </c>
      <c r="G549" s="123" t="s">
        <v>375</v>
      </c>
      <c r="H549" s="600">
        <v>1717</v>
      </c>
      <c r="I549" s="177" t="s">
        <v>292</v>
      </c>
      <c r="J549" s="38" t="s">
        <v>713</v>
      </c>
      <c r="K549" s="39"/>
      <c r="L549" s="40"/>
      <c r="M549" s="341"/>
      <c r="N549" s="342"/>
      <c r="O549" s="42"/>
    </row>
    <row r="550" spans="1:21" s="41" customFormat="1" ht="30" customHeight="1" x14ac:dyDescent="0.25">
      <c r="A550" s="181" t="s">
        <v>517</v>
      </c>
      <c r="B550" s="180" t="s">
        <v>295</v>
      </c>
      <c r="C550" s="180"/>
      <c r="D550" s="180"/>
      <c r="E550" s="182" t="s">
        <v>518</v>
      </c>
      <c r="F550" s="285" t="s">
        <v>519</v>
      </c>
      <c r="G550" s="181"/>
      <c r="H550" s="181"/>
      <c r="I550" s="286" t="s">
        <v>520</v>
      </c>
      <c r="J550" s="287"/>
      <c r="K550" s="288" t="s">
        <v>521</v>
      </c>
      <c r="L550" s="289"/>
      <c r="M550" s="341"/>
      <c r="N550" s="342"/>
      <c r="O550" s="42"/>
    </row>
    <row r="551" spans="1:21" s="41" customFormat="1" ht="30" customHeight="1" x14ac:dyDescent="0.25">
      <c r="A551" s="20">
        <v>14179</v>
      </c>
      <c r="B551" s="503" t="s">
        <v>714</v>
      </c>
      <c r="C551" s="504"/>
      <c r="D551" s="505"/>
      <c r="E551" s="601">
        <v>2600</v>
      </c>
      <c r="F551" s="602">
        <v>131</v>
      </c>
      <c r="G551" s="603"/>
      <c r="H551" s="604"/>
      <c r="I551" s="595">
        <f>+'MILCON Inflation Table'!F16</f>
        <v>0.96211202832457809</v>
      </c>
      <c r="J551" s="596"/>
      <c r="K551" s="597">
        <f>+F551*I551</f>
        <v>126.03667571051973</v>
      </c>
      <c r="L551" s="20" t="s">
        <v>9</v>
      </c>
      <c r="M551" s="341"/>
      <c r="N551" s="342"/>
      <c r="O551" s="42"/>
    </row>
    <row r="552" spans="1:21" s="41" customFormat="1" ht="30" customHeight="1" thickBot="1" x14ac:dyDescent="0.3">
      <c r="A552" s="20"/>
      <c r="B552" s="191"/>
      <c r="C552" s="191"/>
      <c r="D552" s="191"/>
      <c r="E552" s="586"/>
      <c r="F552" s="587"/>
      <c r="G552" s="587"/>
      <c r="H552" s="588"/>
      <c r="I552" s="18"/>
      <c r="J552" s="185" t="s">
        <v>358</v>
      </c>
      <c r="K552" s="305">
        <f>+K551</f>
        <v>126.03667571051973</v>
      </c>
      <c r="L552" s="20" t="s">
        <v>9</v>
      </c>
      <c r="M552" s="341"/>
      <c r="N552" s="342"/>
      <c r="O552" s="42"/>
    </row>
    <row r="553" spans="1:21" s="41" customFormat="1" ht="30" customHeight="1" thickBot="1" x14ac:dyDescent="0.3">
      <c r="A553" s="76"/>
      <c r="B553" s="77"/>
      <c r="C553" s="77"/>
      <c r="D553" s="77"/>
      <c r="E553" s="77"/>
      <c r="F553" s="77"/>
      <c r="G553" s="77"/>
      <c r="H553" s="77"/>
      <c r="I553" s="77"/>
      <c r="J553" s="77"/>
      <c r="K553" s="77"/>
      <c r="L553" s="78"/>
      <c r="M553" s="341"/>
      <c r="N553" s="342"/>
      <c r="O553" s="42"/>
    </row>
    <row r="554" spans="1:21" s="41" customFormat="1" ht="30" customHeight="1" x14ac:dyDescent="0.25">
      <c r="A554" s="207" t="s">
        <v>288</v>
      </c>
      <c r="B554" s="208">
        <v>1461</v>
      </c>
      <c r="C554" s="209" t="s">
        <v>715</v>
      </c>
      <c r="D554" s="210"/>
      <c r="E554" s="177" t="s">
        <v>291</v>
      </c>
      <c r="F554" s="178" t="s">
        <v>11</v>
      </c>
      <c r="G554" s="465" t="s">
        <v>290</v>
      </c>
      <c r="H554" s="179">
        <v>4</v>
      </c>
      <c r="I554" s="177" t="s">
        <v>292</v>
      </c>
      <c r="J554" s="38" t="s">
        <v>400</v>
      </c>
      <c r="K554" s="39"/>
      <c r="L554" s="40"/>
      <c r="M554" s="341"/>
      <c r="N554" s="342"/>
      <c r="O554" s="42"/>
    </row>
    <row r="555" spans="1:21" s="41" customFormat="1" ht="30" customHeight="1" x14ac:dyDescent="0.25">
      <c r="A555" s="181" t="s">
        <v>294</v>
      </c>
      <c r="B555" s="180" t="s">
        <v>295</v>
      </c>
      <c r="C555" s="180"/>
      <c r="D555" s="180"/>
      <c r="E555" s="181" t="s">
        <v>296</v>
      </c>
      <c r="F555" s="181" t="s">
        <v>2</v>
      </c>
      <c r="G555" s="182" t="s">
        <v>297</v>
      </c>
      <c r="H555" s="182" t="s">
        <v>298</v>
      </c>
      <c r="I555" s="182" t="s">
        <v>299</v>
      </c>
      <c r="J555" s="184" t="s">
        <v>300</v>
      </c>
      <c r="K555" s="184" t="s">
        <v>301</v>
      </c>
      <c r="L555" s="185"/>
      <c r="M555" s="341"/>
      <c r="N555" s="342"/>
      <c r="O555" s="42"/>
    </row>
    <row r="556" spans="1:21" s="41" customFormat="1" ht="30" customHeight="1" x14ac:dyDescent="0.25">
      <c r="A556" s="605" t="s">
        <v>716</v>
      </c>
      <c r="B556" s="191" t="s">
        <v>717</v>
      </c>
      <c r="C556" s="191"/>
      <c r="D556" s="191"/>
      <c r="E556" s="605">
        <v>2</v>
      </c>
      <c r="F556" s="606" t="s">
        <v>11</v>
      </c>
      <c r="G556" s="607" t="s">
        <v>718</v>
      </c>
      <c r="H556" s="607" t="s">
        <v>719</v>
      </c>
      <c r="I556" s="607" t="s">
        <v>720</v>
      </c>
      <c r="J556" s="608">
        <v>1444724.73</v>
      </c>
      <c r="K556" s="188" t="s">
        <v>721</v>
      </c>
      <c r="L556" s="609" t="s">
        <v>11</v>
      </c>
      <c r="M556" s="341"/>
      <c r="N556" s="342"/>
      <c r="O556" s="42"/>
    </row>
    <row r="557" spans="1:21" s="41" customFormat="1" ht="30" customHeight="1" x14ac:dyDescent="0.25">
      <c r="A557" s="605" t="s">
        <v>722</v>
      </c>
      <c r="B557" s="191" t="s">
        <v>723</v>
      </c>
      <c r="C557" s="191"/>
      <c r="D557" s="191"/>
      <c r="E557" s="605">
        <v>2</v>
      </c>
      <c r="F557" s="606" t="s">
        <v>11</v>
      </c>
      <c r="G557" s="607" t="s">
        <v>724</v>
      </c>
      <c r="H557" s="607" t="s">
        <v>719</v>
      </c>
      <c r="I557" s="607" t="s">
        <v>720</v>
      </c>
      <c r="J557" s="608">
        <v>1308592.99</v>
      </c>
      <c r="K557" s="188" t="s">
        <v>725</v>
      </c>
      <c r="L557" s="609" t="s">
        <v>11</v>
      </c>
      <c r="M557" s="341"/>
      <c r="N557" s="342"/>
      <c r="O557" s="42"/>
    </row>
    <row r="558" spans="1:21" s="41" customFormat="1" ht="30" customHeight="1" x14ac:dyDescent="0.25">
      <c r="A558" s="165" t="s">
        <v>392</v>
      </c>
      <c r="B558" s="99"/>
      <c r="C558" s="99"/>
      <c r="D558" s="166"/>
      <c r="E558" s="598">
        <f>SUM(E556:E557)</f>
        <v>4</v>
      </c>
      <c r="F558" s="606" t="s">
        <v>11</v>
      </c>
      <c r="G558" s="607" t="s">
        <v>726</v>
      </c>
      <c r="H558" s="64"/>
      <c r="I558" s="64"/>
      <c r="J558" s="610">
        <f>SUM(J556:J557)</f>
        <v>2753317.7199999997</v>
      </c>
      <c r="K558" s="611">
        <v>4213179.9199691396</v>
      </c>
      <c r="L558" s="609" t="s">
        <v>11</v>
      </c>
      <c r="M558" s="341"/>
      <c r="N558" s="342"/>
      <c r="O558" s="42"/>
    </row>
    <row r="559" spans="1:21" s="41" customFormat="1" ht="30" customHeight="1" thickBot="1" x14ac:dyDescent="0.3">
      <c r="A559" s="174"/>
      <c r="B559" s="175"/>
      <c r="C559" s="175"/>
      <c r="D559" s="176"/>
      <c r="E559" s="598"/>
      <c r="F559" s="598"/>
      <c r="G559" s="612"/>
      <c r="H559" s="612"/>
      <c r="I559" s="612"/>
      <c r="J559" s="397" t="s">
        <v>358</v>
      </c>
      <c r="K559" s="613">
        <f>+K558/E558</f>
        <v>1053294.9799922849</v>
      </c>
      <c r="L559" s="20" t="s">
        <v>11</v>
      </c>
      <c r="M559" s="1929" t="s">
        <v>727</v>
      </c>
      <c r="N559" s="1866"/>
      <c r="O559" s="42"/>
    </row>
    <row r="560" spans="1:21" s="41" customFormat="1" ht="30" customHeight="1" thickBot="1" x14ac:dyDescent="0.3">
      <c r="A560" s="76"/>
      <c r="B560" s="77"/>
      <c r="C560" s="77"/>
      <c r="D560" s="77"/>
      <c r="E560" s="77"/>
      <c r="F560" s="77"/>
      <c r="G560" s="77"/>
      <c r="H560" s="77"/>
      <c r="I560" s="77"/>
      <c r="J560" s="77"/>
      <c r="K560" s="77"/>
      <c r="L560" s="78"/>
      <c r="M560" s="341"/>
      <c r="N560" s="341"/>
      <c r="O560" s="42"/>
    </row>
    <row r="561" spans="1:21" s="41" customFormat="1" ht="30" customHeight="1" x14ac:dyDescent="0.25">
      <c r="A561" s="207" t="s">
        <v>288</v>
      </c>
      <c r="B561" s="208">
        <v>1464</v>
      </c>
      <c r="C561" s="209" t="s">
        <v>728</v>
      </c>
      <c r="D561" s="210"/>
      <c r="E561" s="177" t="s">
        <v>291</v>
      </c>
      <c r="F561" s="178" t="s">
        <v>11</v>
      </c>
      <c r="G561" s="465" t="s">
        <v>290</v>
      </c>
      <c r="H561" s="179">
        <v>10000</v>
      </c>
      <c r="I561" s="177" t="s">
        <v>292</v>
      </c>
      <c r="J561" s="38" t="s">
        <v>400</v>
      </c>
      <c r="K561" s="39"/>
      <c r="L561" s="40"/>
      <c r="M561" s="341"/>
      <c r="N561" s="342"/>
      <c r="O561" s="42"/>
    </row>
    <row r="562" spans="1:21" s="41" customFormat="1" ht="30" customHeight="1" x14ac:dyDescent="0.25">
      <c r="A562" s="181" t="s">
        <v>294</v>
      </c>
      <c r="B562" s="180" t="s">
        <v>295</v>
      </c>
      <c r="C562" s="180"/>
      <c r="D562" s="180"/>
      <c r="E562" s="181" t="s">
        <v>296</v>
      </c>
      <c r="F562" s="181" t="s">
        <v>2</v>
      </c>
      <c r="G562" s="182" t="s">
        <v>297</v>
      </c>
      <c r="H562" s="182" t="s">
        <v>298</v>
      </c>
      <c r="I562" s="182" t="s">
        <v>299</v>
      </c>
      <c r="J562" s="184" t="s">
        <v>300</v>
      </c>
      <c r="K562" s="184" t="s">
        <v>301</v>
      </c>
      <c r="L562" s="185"/>
      <c r="M562" s="341"/>
      <c r="N562" s="342"/>
      <c r="O562" s="42"/>
    </row>
    <row r="563" spans="1:21" s="41" customFormat="1" ht="30" customHeight="1" x14ac:dyDescent="0.25">
      <c r="A563" s="606" t="s">
        <v>729</v>
      </c>
      <c r="B563" s="191" t="s">
        <v>730</v>
      </c>
      <c r="C563" s="191"/>
      <c r="D563" s="191"/>
      <c r="E563" s="605">
        <v>1</v>
      </c>
      <c r="F563" s="606" t="s">
        <v>11</v>
      </c>
      <c r="G563" s="188" t="s">
        <v>731</v>
      </c>
      <c r="H563" s="188" t="s">
        <v>732</v>
      </c>
      <c r="I563" s="188" t="s">
        <v>733</v>
      </c>
      <c r="J563" s="614">
        <v>1160783.75</v>
      </c>
      <c r="K563" s="188" t="s">
        <v>734</v>
      </c>
      <c r="L563" s="609" t="s">
        <v>11</v>
      </c>
      <c r="M563" s="341"/>
      <c r="N563" s="342"/>
      <c r="O563" s="42"/>
    </row>
    <row r="564" spans="1:21" s="41" customFormat="1" ht="30" customHeight="1" x14ac:dyDescent="0.25">
      <c r="A564" s="195" t="s">
        <v>392</v>
      </c>
      <c r="B564" s="615"/>
      <c r="C564" s="615"/>
      <c r="D564" s="616"/>
      <c r="E564" s="598">
        <f>SUM(E563:E563)</f>
        <v>1</v>
      </c>
      <c r="F564" s="606" t="s">
        <v>11</v>
      </c>
      <c r="G564" s="612" t="s">
        <v>726</v>
      </c>
      <c r="H564" s="612"/>
      <c r="I564" s="612"/>
      <c r="J564" s="617"/>
      <c r="K564" s="618" t="str">
        <f>K563</f>
        <v>$1,983,144.28</v>
      </c>
      <c r="L564" s="606" t="s">
        <v>11</v>
      </c>
      <c r="M564" s="341"/>
      <c r="N564" s="342"/>
      <c r="O564" s="42"/>
    </row>
    <row r="565" spans="1:21" ht="30" customHeight="1" thickBot="1" x14ac:dyDescent="0.3">
      <c r="A565" s="619"/>
      <c r="B565" s="620"/>
      <c r="C565" s="620"/>
      <c r="D565" s="621"/>
      <c r="E565" s="598"/>
      <c r="F565" s="598"/>
      <c r="G565" s="598"/>
      <c r="H565" s="598"/>
      <c r="I565" s="598"/>
      <c r="J565" s="185" t="s">
        <v>358</v>
      </c>
      <c r="K565" s="602">
        <f>+K564/E564</f>
        <v>1983144.28</v>
      </c>
      <c r="L565" s="20" t="s">
        <v>11</v>
      </c>
      <c r="N565" s="364"/>
    </row>
    <row r="566" spans="1:21" ht="30" customHeight="1" thickBot="1" x14ac:dyDescent="0.3">
      <c r="A566" s="76"/>
      <c r="B566" s="77"/>
      <c r="C566" s="77"/>
      <c r="D566" s="77"/>
      <c r="E566" s="77"/>
      <c r="F566" s="77"/>
      <c r="G566" s="77"/>
      <c r="H566" s="77"/>
      <c r="I566" s="77"/>
      <c r="J566" s="77"/>
      <c r="K566" s="77"/>
      <c r="L566" s="78"/>
      <c r="M566" s="43"/>
    </row>
    <row r="567" spans="1:21" ht="30" customHeight="1" x14ac:dyDescent="0.25">
      <c r="A567" s="207" t="s">
        <v>288</v>
      </c>
      <c r="B567" s="208">
        <v>1466</v>
      </c>
      <c r="C567" s="209" t="s">
        <v>735</v>
      </c>
      <c r="D567" s="210"/>
      <c r="E567" s="177" t="s">
        <v>291</v>
      </c>
      <c r="F567" s="178" t="s">
        <v>9</v>
      </c>
      <c r="G567" s="123" t="s">
        <v>375</v>
      </c>
      <c r="H567" s="179">
        <v>13585</v>
      </c>
      <c r="I567" s="177" t="s">
        <v>292</v>
      </c>
      <c r="J567" s="38" t="s">
        <v>736</v>
      </c>
      <c r="K567" s="39"/>
      <c r="L567" s="40"/>
      <c r="P567" s="43"/>
      <c r="Q567" s="43"/>
      <c r="R567" s="43"/>
      <c r="S567" s="60"/>
      <c r="T567" s="60"/>
      <c r="U567" s="43"/>
    </row>
    <row r="568" spans="1:21" s="49" customFormat="1" ht="30" customHeight="1" x14ac:dyDescent="0.25">
      <c r="A568" s="181"/>
      <c r="B568" s="180" t="s">
        <v>295</v>
      </c>
      <c r="C568" s="180"/>
      <c r="D568" s="180"/>
      <c r="E568" s="181" t="s">
        <v>519</v>
      </c>
      <c r="F568" s="181" t="s">
        <v>561</v>
      </c>
      <c r="G568" s="398" t="s">
        <v>562</v>
      </c>
      <c r="H568" s="399"/>
      <c r="I568" s="181" t="s">
        <v>569</v>
      </c>
      <c r="J568" s="181" t="s">
        <v>737</v>
      </c>
      <c r="K568" s="493" t="s">
        <v>521</v>
      </c>
      <c r="L568" s="494"/>
      <c r="M568" s="502"/>
      <c r="N568" s="502"/>
      <c r="O568" s="27"/>
      <c r="P568" s="50"/>
      <c r="Q568" s="50"/>
      <c r="R568" s="50"/>
      <c r="S568" s="212"/>
      <c r="T568" s="212"/>
      <c r="U568" s="50"/>
    </row>
    <row r="569" spans="1:21" s="41" customFormat="1" ht="30" customHeight="1" x14ac:dyDescent="0.25">
      <c r="A569" s="147" t="s">
        <v>738</v>
      </c>
      <c r="B569" s="191" t="s">
        <v>739</v>
      </c>
      <c r="C569" s="191"/>
      <c r="D569" s="191"/>
      <c r="E569" s="623">
        <v>6943</v>
      </c>
      <c r="F569" s="606" t="s">
        <v>740</v>
      </c>
      <c r="G569" s="595">
        <f>1/10.76391</f>
        <v>9.2903043596611279E-2</v>
      </c>
      <c r="H569" s="596"/>
      <c r="I569" s="624">
        <v>2.37</v>
      </c>
      <c r="J569" s="625">
        <v>1.0398000000000001</v>
      </c>
      <c r="K569" s="623">
        <f>+E569*G569/I569*J569</f>
        <v>282.99487754961376</v>
      </c>
      <c r="L569" s="606" t="s">
        <v>9</v>
      </c>
      <c r="M569" s="341"/>
      <c r="N569" s="342"/>
      <c r="O569" s="42"/>
    </row>
    <row r="570" spans="1:21" ht="30" customHeight="1" x14ac:dyDescent="0.25">
      <c r="A570" s="20"/>
      <c r="B570" s="402" t="s">
        <v>741</v>
      </c>
      <c r="C570" s="436"/>
      <c r="D570" s="436"/>
      <c r="E570" s="436"/>
      <c r="F570" s="436"/>
      <c r="G570" s="436"/>
      <c r="H570" s="436"/>
      <c r="I570" s="437"/>
      <c r="J570" s="185" t="s">
        <v>358</v>
      </c>
      <c r="K570" s="597">
        <f>+K569</f>
        <v>282.99487754961376</v>
      </c>
      <c r="L570" s="20" t="s">
        <v>9</v>
      </c>
    </row>
    <row r="571" spans="1:21" ht="30" customHeight="1" thickBot="1" x14ac:dyDescent="0.3">
      <c r="A571" s="559" t="s">
        <v>742</v>
      </c>
      <c r="B571" s="559"/>
      <c r="C571" s="559"/>
      <c r="D571" s="559"/>
      <c r="E571" s="559"/>
      <c r="F571" s="559"/>
      <c r="G571" s="559"/>
      <c r="H571" s="559"/>
      <c r="I571" s="559"/>
      <c r="J571" s="559"/>
      <c r="K571" s="559"/>
      <c r="L571" s="559"/>
      <c r="M571" s="43"/>
    </row>
    <row r="572" spans="1:21" ht="30" customHeight="1" thickBot="1" x14ac:dyDescent="0.3">
      <c r="A572" s="76"/>
      <c r="B572" s="77"/>
      <c r="C572" s="77"/>
      <c r="D572" s="77"/>
      <c r="E572" s="77"/>
      <c r="F572" s="77"/>
      <c r="G572" s="77"/>
      <c r="H572" s="77"/>
      <c r="I572" s="77"/>
      <c r="J572" s="77"/>
      <c r="K572" s="77"/>
      <c r="L572" s="78"/>
      <c r="P572" s="43"/>
      <c r="Q572" s="43"/>
      <c r="R572" s="43"/>
      <c r="S572" s="60"/>
      <c r="T572" s="60"/>
      <c r="U572" s="43"/>
    </row>
    <row r="573" spans="1:21" s="49" customFormat="1" ht="30" customHeight="1" x14ac:dyDescent="0.25">
      <c r="A573" s="30" t="s">
        <v>288</v>
      </c>
      <c r="B573" s="31">
        <v>1467</v>
      </c>
      <c r="C573" s="484" t="s">
        <v>743</v>
      </c>
      <c r="D573" s="485"/>
      <c r="E573" s="36" t="s">
        <v>291</v>
      </c>
      <c r="F573" s="37" t="s">
        <v>11</v>
      </c>
      <c r="G573" s="123" t="s">
        <v>375</v>
      </c>
      <c r="H573" s="179">
        <v>2</v>
      </c>
      <c r="I573" s="36" t="s">
        <v>292</v>
      </c>
      <c r="J573" s="38" t="s">
        <v>3376</v>
      </c>
      <c r="K573" s="39"/>
      <c r="L573" s="40"/>
      <c r="M573" s="502"/>
      <c r="N573" s="502"/>
      <c r="O573" s="27"/>
      <c r="P573" s="50"/>
      <c r="Q573" s="50"/>
      <c r="R573" s="50"/>
      <c r="S573" s="212"/>
      <c r="T573" s="212"/>
      <c r="U573" s="50"/>
    </row>
    <row r="574" spans="1:21" ht="30" customHeight="1" x14ac:dyDescent="0.25">
      <c r="A574" s="44" t="s">
        <v>517</v>
      </c>
      <c r="B574" s="45" t="s">
        <v>295</v>
      </c>
      <c r="C574" s="45"/>
      <c r="D574" s="45"/>
      <c r="E574" s="44" t="s">
        <v>519</v>
      </c>
      <c r="F574" s="44" t="s">
        <v>561</v>
      </c>
      <c r="G574" s="626" t="s">
        <v>562</v>
      </c>
      <c r="H574" s="627"/>
      <c r="I574" s="628" t="s">
        <v>744</v>
      </c>
      <c r="J574" s="629"/>
      <c r="K574" s="630" t="s">
        <v>745</v>
      </c>
      <c r="L574" s="44"/>
      <c r="N574" s="1889"/>
      <c r="P574" s="43"/>
      <c r="Q574" s="43"/>
      <c r="R574" s="43"/>
      <c r="S574" s="60"/>
      <c r="T574" s="60"/>
      <c r="U574" s="43"/>
    </row>
    <row r="575" spans="1:21" ht="30" customHeight="1" x14ac:dyDescent="0.25">
      <c r="A575" s="631">
        <v>14915</v>
      </c>
      <c r="B575" s="192" t="s">
        <v>746</v>
      </c>
      <c r="C575" s="192"/>
      <c r="D575" s="192"/>
      <c r="E575" s="632">
        <f>+K4778</f>
        <v>27067.550823529411</v>
      </c>
      <c r="F575" s="631" t="s">
        <v>11</v>
      </c>
      <c r="G575" s="633"/>
      <c r="H575" s="634"/>
      <c r="I575" s="635">
        <f>39/44</f>
        <v>0.88636363636363635</v>
      </c>
      <c r="J575" s="636"/>
      <c r="K575" s="637">
        <f>+E575*I575</f>
        <v>23991.692775401069</v>
      </c>
      <c r="L575" s="61" t="s">
        <v>11</v>
      </c>
      <c r="N575" s="1889"/>
      <c r="P575" s="43"/>
      <c r="Q575" s="43"/>
      <c r="R575" s="43"/>
      <c r="S575" s="60"/>
      <c r="T575" s="60"/>
      <c r="U575" s="43"/>
    </row>
    <row r="576" spans="1:21" ht="30" customHeight="1" x14ac:dyDescent="0.25">
      <c r="A576" s="61">
        <v>149629</v>
      </c>
      <c r="B576" s="236" t="s">
        <v>747</v>
      </c>
      <c r="C576" s="237"/>
      <c r="D576" s="238"/>
      <c r="E576" s="638">
        <f>+K4796</f>
        <v>21.748981597089884</v>
      </c>
      <c r="F576" s="631" t="s">
        <v>7</v>
      </c>
      <c r="G576" s="639">
        <v>3800</v>
      </c>
      <c r="H576" s="640" t="s">
        <v>748</v>
      </c>
      <c r="I576" s="641">
        <f>1/44</f>
        <v>2.2727272727272728E-2</v>
      </c>
      <c r="J576" s="642"/>
      <c r="K576" s="270">
        <f>+E576*G576*I576</f>
        <v>1878.3211379304903</v>
      </c>
      <c r="L576" s="61" t="s">
        <v>11</v>
      </c>
      <c r="M576" s="434"/>
      <c r="N576" s="105"/>
      <c r="P576" s="43"/>
      <c r="Q576" s="43"/>
      <c r="R576" s="43"/>
      <c r="S576" s="60"/>
      <c r="T576" s="60"/>
      <c r="U576" s="43"/>
    </row>
    <row r="577" spans="1:21" ht="30" customHeight="1" x14ac:dyDescent="0.25">
      <c r="A577" s="61">
        <v>14985</v>
      </c>
      <c r="B577" s="192" t="s">
        <v>749</v>
      </c>
      <c r="C577" s="192"/>
      <c r="D577" s="192"/>
      <c r="E577" s="643">
        <f>+K346</f>
        <v>10223.751969117648</v>
      </c>
      <c r="F577" s="61" t="s">
        <v>11</v>
      </c>
      <c r="G577" s="644"/>
      <c r="H577" s="645"/>
      <c r="I577" s="641">
        <f>4/44</f>
        <v>9.0909090909090912E-2</v>
      </c>
      <c r="J577" s="642"/>
      <c r="K577" s="270">
        <f>+E577*I577</f>
        <v>929.43199719251345</v>
      </c>
      <c r="L577" s="61" t="s">
        <v>11</v>
      </c>
      <c r="M577" s="434"/>
      <c r="N577" s="105"/>
    </row>
    <row r="578" spans="1:21" ht="30" customHeight="1" x14ac:dyDescent="0.25">
      <c r="A578" s="65"/>
      <c r="B578" s="646"/>
      <c r="C578" s="646"/>
      <c r="D578" s="646"/>
      <c r="E578" s="21"/>
      <c r="F578" s="65"/>
      <c r="G578" s="36"/>
      <c r="H578" s="647"/>
      <c r="I578" s="648"/>
      <c r="J578" s="649" t="s">
        <v>750</v>
      </c>
      <c r="K578" s="222">
        <f>SUM(K575:K577)</f>
        <v>26799.445910524075</v>
      </c>
      <c r="L578" s="61" t="s">
        <v>11</v>
      </c>
      <c r="M578" s="434"/>
      <c r="N578" s="105"/>
    </row>
    <row r="579" spans="1:21" ht="30" customHeight="1" x14ac:dyDescent="0.25">
      <c r="A579" s="65"/>
      <c r="B579" s="646"/>
      <c r="C579" s="646"/>
      <c r="D579" s="646"/>
      <c r="E579" s="63"/>
      <c r="F579" s="65"/>
      <c r="G579" s="650" t="s">
        <v>751</v>
      </c>
      <c r="H579" s="651"/>
      <c r="I579" s="651"/>
      <c r="J579" s="652" t="s">
        <v>358</v>
      </c>
      <c r="K579" s="653">
        <f>+K578</f>
        <v>26799.445910524075</v>
      </c>
      <c r="L579" s="61" t="s">
        <v>11</v>
      </c>
      <c r="M579" s="434"/>
      <c r="N579" s="105"/>
      <c r="P579" s="43"/>
      <c r="Q579" s="43"/>
      <c r="R579" s="43"/>
      <c r="S579" s="60"/>
      <c r="T579" s="60"/>
      <c r="U579" s="43"/>
    </row>
    <row r="580" spans="1:21" s="49" customFormat="1" ht="30" customHeight="1" x14ac:dyDescent="0.25">
      <c r="A580" s="576" t="s">
        <v>752</v>
      </c>
      <c r="B580" s="576"/>
      <c r="C580" s="576"/>
      <c r="D580" s="576"/>
      <c r="E580" s="576"/>
      <c r="F580" s="576"/>
      <c r="G580" s="576"/>
      <c r="H580" s="576"/>
      <c r="I580" s="576"/>
      <c r="J580" s="576"/>
      <c r="K580" s="576"/>
      <c r="L580" s="576"/>
      <c r="M580" s="654"/>
      <c r="N580" s="502"/>
      <c r="O580" s="27"/>
      <c r="P580" s="50"/>
      <c r="Q580" s="50"/>
      <c r="R580" s="50"/>
      <c r="S580" s="212"/>
      <c r="T580" s="212"/>
      <c r="U580" s="50"/>
    </row>
    <row r="581" spans="1:21" ht="30" customHeight="1" x14ac:dyDescent="0.25">
      <c r="A581" s="576"/>
      <c r="B581" s="576"/>
      <c r="C581" s="576"/>
      <c r="D581" s="576"/>
      <c r="E581" s="576"/>
      <c r="F581" s="576"/>
      <c r="G581" s="576"/>
      <c r="H581" s="576"/>
      <c r="I581" s="576"/>
      <c r="J581" s="576"/>
      <c r="K581" s="576"/>
      <c r="L581" s="576"/>
      <c r="N581" s="1889"/>
      <c r="P581" s="43"/>
      <c r="Q581" s="43"/>
      <c r="R581" s="43"/>
      <c r="S581" s="60"/>
      <c r="T581" s="60"/>
      <c r="U581" s="43"/>
    </row>
    <row r="582" spans="1:21" ht="30" customHeight="1" x14ac:dyDescent="0.25">
      <c r="A582" s="576"/>
      <c r="B582" s="576"/>
      <c r="C582" s="576"/>
      <c r="D582" s="576"/>
      <c r="E582" s="576"/>
      <c r="F582" s="576"/>
      <c r="G582" s="576"/>
      <c r="H582" s="576"/>
      <c r="I582" s="576"/>
      <c r="J582" s="576"/>
      <c r="K582" s="576"/>
      <c r="L582" s="576"/>
    </row>
    <row r="583" spans="1:21" ht="34.5" customHeight="1" thickBot="1" x14ac:dyDescent="0.3">
      <c r="A583" s="576"/>
      <c r="B583" s="576"/>
      <c r="C583" s="576"/>
      <c r="D583" s="576"/>
      <c r="E583" s="576"/>
      <c r="F583" s="576"/>
      <c r="G583" s="576"/>
      <c r="H583" s="576"/>
      <c r="I583" s="576"/>
      <c r="J583" s="576"/>
      <c r="K583" s="576"/>
      <c r="L583" s="576"/>
    </row>
    <row r="584" spans="1:21" ht="30" customHeight="1" thickBot="1" x14ac:dyDescent="0.3">
      <c r="A584" s="76"/>
      <c r="B584" s="77"/>
      <c r="C584" s="77"/>
      <c r="D584" s="77"/>
      <c r="E584" s="77"/>
      <c r="F584" s="77"/>
      <c r="G584" s="77"/>
      <c r="H584" s="77"/>
      <c r="I584" s="77"/>
      <c r="J584" s="77"/>
      <c r="K584" s="77"/>
      <c r="L584" s="78"/>
      <c r="O584"/>
    </row>
    <row r="585" spans="1:21" s="49" customFormat="1" ht="30" customHeight="1" x14ac:dyDescent="0.25">
      <c r="A585" s="207" t="s">
        <v>288</v>
      </c>
      <c r="B585" s="208">
        <v>1491</v>
      </c>
      <c r="C585" s="387" t="s">
        <v>753</v>
      </c>
      <c r="D585" s="388"/>
      <c r="E585" s="177" t="s">
        <v>291</v>
      </c>
      <c r="F585" s="178" t="s">
        <v>11</v>
      </c>
      <c r="G585" s="250" t="s">
        <v>754</v>
      </c>
      <c r="H585" s="655" t="s">
        <v>755</v>
      </c>
      <c r="I585" s="177" t="s">
        <v>292</v>
      </c>
      <c r="J585" s="488" t="s">
        <v>617</v>
      </c>
      <c r="K585" s="488"/>
      <c r="L585" s="489"/>
      <c r="M585" s="380"/>
      <c r="N585" s="502"/>
    </row>
    <row r="586" spans="1:21" ht="30" customHeight="1" x14ac:dyDescent="0.25">
      <c r="A586" s="185" t="s">
        <v>529</v>
      </c>
      <c r="B586" s="394" t="s">
        <v>560</v>
      </c>
      <c r="C586" s="395"/>
      <c r="D586" s="396"/>
      <c r="E586" s="397" t="s">
        <v>519</v>
      </c>
      <c r="F586" s="397" t="s">
        <v>561</v>
      </c>
      <c r="G586" s="398" t="s">
        <v>562</v>
      </c>
      <c r="H586" s="399"/>
      <c r="I586" s="400" t="s">
        <v>530</v>
      </c>
      <c r="J586" s="400"/>
      <c r="K586" s="288" t="s">
        <v>521</v>
      </c>
      <c r="L586" s="289"/>
      <c r="M586" s="380"/>
      <c r="O586"/>
    </row>
    <row r="587" spans="1:21" ht="30" customHeight="1" x14ac:dyDescent="0.25">
      <c r="A587" s="20" t="s">
        <v>756</v>
      </c>
      <c r="B587" s="402" t="s">
        <v>757</v>
      </c>
      <c r="C587" s="403"/>
      <c r="D587" s="404"/>
      <c r="E587" s="405">
        <v>149.46</v>
      </c>
      <c r="F587" s="20" t="s">
        <v>9</v>
      </c>
      <c r="G587" s="656">
        <v>5000</v>
      </c>
      <c r="H587" s="407" t="s">
        <v>565</v>
      </c>
      <c r="I587" s="20">
        <v>1.03</v>
      </c>
      <c r="J587" s="20"/>
      <c r="K587" s="405">
        <f>+E587*G587*I587</f>
        <v>769719</v>
      </c>
      <c r="L587" s="20" t="s">
        <v>11</v>
      </c>
      <c r="O587"/>
    </row>
    <row r="588" spans="1:21" ht="30" customHeight="1" x14ac:dyDescent="0.25">
      <c r="A588" s="657" t="s">
        <v>758</v>
      </c>
      <c r="B588" s="503" t="s">
        <v>759</v>
      </c>
      <c r="C588" s="504"/>
      <c r="D588" s="505"/>
      <c r="E588" s="405">
        <v>-2.29</v>
      </c>
      <c r="F588" s="20" t="s">
        <v>9</v>
      </c>
      <c r="G588" s="656">
        <v>5000</v>
      </c>
      <c r="H588" s="407" t="s">
        <v>565</v>
      </c>
      <c r="I588" s="20">
        <v>1.03</v>
      </c>
      <c r="J588" s="20"/>
      <c r="K588" s="405">
        <f>+E588*G588*I588</f>
        <v>-11793.5</v>
      </c>
      <c r="L588" s="20" t="s">
        <v>11</v>
      </c>
      <c r="O588"/>
    </row>
    <row r="589" spans="1:21" ht="30" customHeight="1" x14ac:dyDescent="0.25">
      <c r="A589" s="20" t="s">
        <v>760</v>
      </c>
      <c r="B589" s="503" t="s">
        <v>761</v>
      </c>
      <c r="C589" s="504"/>
      <c r="D589" s="505"/>
      <c r="E589" s="405">
        <v>87000</v>
      </c>
      <c r="F589" s="20" t="s">
        <v>11</v>
      </c>
      <c r="G589" s="406"/>
      <c r="H589" s="407"/>
      <c r="I589" s="20">
        <v>1.02</v>
      </c>
      <c r="J589" s="20"/>
      <c r="K589" s="405">
        <f>+E589*I589</f>
        <v>88740</v>
      </c>
      <c r="L589" s="20" t="s">
        <v>11</v>
      </c>
      <c r="O589"/>
    </row>
    <row r="590" spans="1:21" ht="30" customHeight="1" x14ac:dyDescent="0.25">
      <c r="A590" s="20" t="s">
        <v>760</v>
      </c>
      <c r="B590" s="346" t="s">
        <v>762</v>
      </c>
      <c r="C590" s="347"/>
      <c r="D590" s="348"/>
      <c r="E590" s="405">
        <f>(22.2+44.75)/2</f>
        <v>33.475000000000001</v>
      </c>
      <c r="F590" s="20" t="s">
        <v>7</v>
      </c>
      <c r="G590" s="406">
        <v>100</v>
      </c>
      <c r="H590" s="407" t="s">
        <v>748</v>
      </c>
      <c r="I590" s="20">
        <v>1.02</v>
      </c>
      <c r="J590" s="20"/>
      <c r="K590" s="405">
        <f>E590*G590*I590</f>
        <v>3414.4500000000003</v>
      </c>
      <c r="L590" s="20"/>
      <c r="O590"/>
    </row>
    <row r="591" spans="1:21" ht="30" customHeight="1" x14ac:dyDescent="0.25">
      <c r="A591" s="20" t="s">
        <v>644</v>
      </c>
      <c r="B591" s="503" t="s">
        <v>763</v>
      </c>
      <c r="C591" s="504"/>
      <c r="D591" s="505"/>
      <c r="E591" s="405">
        <v>4.5</v>
      </c>
      <c r="F591" s="20" t="s">
        <v>9</v>
      </c>
      <c r="G591" s="658">
        <v>5000</v>
      </c>
      <c r="H591" s="407" t="s">
        <v>565</v>
      </c>
      <c r="I591" s="20">
        <v>1.03</v>
      </c>
      <c r="J591" s="20"/>
      <c r="K591" s="405">
        <f>+E591*G591*I591</f>
        <v>23175</v>
      </c>
      <c r="L591" s="20" t="s">
        <v>11</v>
      </c>
      <c r="M591" s="43"/>
      <c r="N591" s="43"/>
      <c r="O591"/>
    </row>
    <row r="592" spans="1:21" s="49" customFormat="1" ht="30" customHeight="1" x14ac:dyDescent="0.25">
      <c r="A592" s="20"/>
      <c r="B592" s="659" t="s">
        <v>764</v>
      </c>
      <c r="C592" s="659"/>
      <c r="D592" s="659"/>
      <c r="E592" s="405"/>
      <c r="F592" s="20"/>
      <c r="G592" s="20"/>
      <c r="H592" s="20"/>
      <c r="I592" s="20"/>
      <c r="J592" s="20" t="s">
        <v>646</v>
      </c>
      <c r="K592" s="405">
        <f>SUM(K587:K591)</f>
        <v>873254.95</v>
      </c>
      <c r="L592" s="20" t="s">
        <v>11</v>
      </c>
      <c r="M592" s="1891"/>
      <c r="N592" s="50"/>
    </row>
    <row r="593" spans="1:18" ht="30" customHeight="1" x14ac:dyDescent="0.25">
      <c r="A593" s="20"/>
      <c r="B593" s="410"/>
      <c r="C593" s="410"/>
      <c r="D593" s="410"/>
      <c r="E593" s="405"/>
      <c r="F593" s="338" t="s">
        <v>533</v>
      </c>
      <c r="G593" s="339" t="s">
        <v>534</v>
      </c>
      <c r="H593" s="339"/>
      <c r="I593" s="339"/>
      <c r="J593" s="339"/>
      <c r="K593" s="340">
        <v>1.08</v>
      </c>
      <c r="L593" s="10"/>
      <c r="M593" s="1424"/>
      <c r="N593" s="43"/>
    </row>
    <row r="594" spans="1:18" ht="30" customHeight="1" x14ac:dyDescent="0.25">
      <c r="A594" s="20"/>
      <c r="B594" s="410"/>
      <c r="C594" s="410"/>
      <c r="D594" s="410"/>
      <c r="E594" s="405"/>
      <c r="F594" s="343"/>
      <c r="G594" s="344" t="s">
        <v>535</v>
      </c>
      <c r="H594" s="344"/>
      <c r="I594" s="344"/>
      <c r="J594" s="344"/>
      <c r="K594" s="340">
        <v>1.02</v>
      </c>
      <c r="L594" s="10"/>
      <c r="M594" s="660"/>
      <c r="N594" s="43"/>
      <c r="O594"/>
    </row>
    <row r="595" spans="1:18" ht="30" customHeight="1" x14ac:dyDescent="0.25">
      <c r="A595" s="20"/>
      <c r="B595" s="20"/>
      <c r="C595" s="18"/>
      <c r="D595" s="18"/>
      <c r="E595" s="18"/>
      <c r="F595" s="18"/>
      <c r="G595" s="18"/>
      <c r="H595" s="18"/>
      <c r="I595" s="18"/>
      <c r="J595" s="18" t="s">
        <v>358</v>
      </c>
      <c r="K595" s="23">
        <f>+K592*K593/K594</f>
        <v>924622.88823529414</v>
      </c>
      <c r="L595" s="20" t="s">
        <v>11</v>
      </c>
      <c r="M595" s="1562"/>
      <c r="N595" s="43"/>
      <c r="O595"/>
    </row>
    <row r="596" spans="1:18" ht="30" customHeight="1" thickBot="1" x14ac:dyDescent="0.3">
      <c r="A596" s="20"/>
      <c r="B596" s="20"/>
      <c r="C596" s="18"/>
      <c r="D596" s="18"/>
      <c r="E596" s="18"/>
      <c r="F596" s="18"/>
      <c r="G596" s="413" t="s">
        <v>537</v>
      </c>
      <c r="H596" s="18"/>
      <c r="I596" s="18"/>
      <c r="J596" s="361">
        <f>VLOOKUP(B585,'Mil Cost Premiums for RUCs'!$A$4:$R$265,18,FALSE)</f>
        <v>1.2281354183505979</v>
      </c>
      <c r="K596" s="23">
        <f>+K595*J596</f>
        <v>1135562.1176593911</v>
      </c>
      <c r="L596" s="20" t="s">
        <v>11</v>
      </c>
      <c r="M596" s="1562"/>
      <c r="O596"/>
    </row>
    <row r="597" spans="1:18" ht="30" customHeight="1" thickBot="1" x14ac:dyDescent="0.3">
      <c r="A597" s="76"/>
      <c r="B597" s="77"/>
      <c r="C597" s="77"/>
      <c r="D597" s="77"/>
      <c r="E597" s="77"/>
      <c r="F597" s="77"/>
      <c r="G597" s="77"/>
      <c r="H597" s="77"/>
      <c r="I597" s="77"/>
      <c r="J597" s="77"/>
      <c r="K597" s="77"/>
      <c r="L597" s="78"/>
      <c r="N597" s="1892"/>
      <c r="O597"/>
    </row>
    <row r="598" spans="1:18" ht="30" customHeight="1" x14ac:dyDescent="0.25">
      <c r="A598" s="207" t="s">
        <v>288</v>
      </c>
      <c r="B598" s="208">
        <v>1492</v>
      </c>
      <c r="C598" s="282" t="s">
        <v>765</v>
      </c>
      <c r="D598" s="283"/>
      <c r="E598" s="177" t="s">
        <v>291</v>
      </c>
      <c r="F598" s="178" t="s">
        <v>3</v>
      </c>
      <c r="G598" s="123" t="s">
        <v>375</v>
      </c>
      <c r="H598" s="663">
        <v>4123</v>
      </c>
      <c r="I598" s="177" t="s">
        <v>292</v>
      </c>
      <c r="J598" s="38" t="s">
        <v>623</v>
      </c>
      <c r="K598" s="39"/>
      <c r="L598" s="40"/>
      <c r="O598"/>
    </row>
    <row r="599" spans="1:18" ht="30" customHeight="1" x14ac:dyDescent="0.25">
      <c r="A599" s="181" t="s">
        <v>517</v>
      </c>
      <c r="B599" s="180" t="s">
        <v>295</v>
      </c>
      <c r="C599" s="180"/>
      <c r="D599" s="180"/>
      <c r="E599" s="285" t="s">
        <v>519</v>
      </c>
      <c r="F599" s="664" t="s">
        <v>2</v>
      </c>
      <c r="G599" s="665" t="s">
        <v>562</v>
      </c>
      <c r="H599" s="666"/>
      <c r="I599" s="667" t="s">
        <v>766</v>
      </c>
      <c r="J599" s="668"/>
      <c r="K599" s="288" t="s">
        <v>521</v>
      </c>
      <c r="L599" s="289"/>
      <c r="O599"/>
    </row>
    <row r="600" spans="1:18" ht="30" customHeight="1" x14ac:dyDescent="0.25">
      <c r="A600" s="20">
        <v>93410</v>
      </c>
      <c r="B600" s="402" t="s">
        <v>767</v>
      </c>
      <c r="C600" s="403"/>
      <c r="D600" s="404"/>
      <c r="E600" s="405">
        <v>8</v>
      </c>
      <c r="F600" s="20" t="s">
        <v>307</v>
      </c>
      <c r="G600" s="522">
        <v>3</v>
      </c>
      <c r="H600" s="522" t="s">
        <v>768</v>
      </c>
      <c r="I600" s="669">
        <f>+'MILCON Inflation Table'!F17</f>
        <v>0.9432470865927236</v>
      </c>
      <c r="J600" s="669"/>
      <c r="K600" s="597">
        <f>+E600/G600*I600</f>
        <v>2.5153255642472629</v>
      </c>
      <c r="L600" s="20" t="s">
        <v>3</v>
      </c>
      <c r="O600"/>
    </row>
    <row r="601" spans="1:18" ht="45" customHeight="1" x14ac:dyDescent="0.25">
      <c r="A601" s="20">
        <v>85110</v>
      </c>
      <c r="B601" s="191" t="s">
        <v>769</v>
      </c>
      <c r="C601" s="191"/>
      <c r="D601" s="191"/>
      <c r="E601" s="405">
        <v>17.8</v>
      </c>
      <c r="F601" s="20" t="s">
        <v>3</v>
      </c>
      <c r="G601" s="603"/>
      <c r="H601" s="603"/>
      <c r="I601" s="669">
        <f>+'MILCON Inflation Table'!F17</f>
        <v>0.9432470865927236</v>
      </c>
      <c r="J601" s="669"/>
      <c r="K601" s="597">
        <f>+E601*I601</f>
        <v>16.789798141350481</v>
      </c>
      <c r="L601" s="20" t="s">
        <v>3</v>
      </c>
      <c r="O601"/>
    </row>
    <row r="602" spans="1:18" ht="45" customHeight="1" x14ac:dyDescent="0.25">
      <c r="A602" s="20">
        <v>85110</v>
      </c>
      <c r="B602" s="402" t="s">
        <v>770</v>
      </c>
      <c r="C602" s="403"/>
      <c r="D602" s="404"/>
      <c r="E602" s="405">
        <v>58</v>
      </c>
      <c r="F602" s="20" t="s">
        <v>3</v>
      </c>
      <c r="G602" s="603"/>
      <c r="H602" s="603"/>
      <c r="I602" s="669">
        <f>+'MILCON Inflation Table'!F17</f>
        <v>0.9432470865927236</v>
      </c>
      <c r="J602" s="669"/>
      <c r="K602" s="597">
        <f>+E602*I602</f>
        <v>54.708331022377969</v>
      </c>
      <c r="L602" s="20" t="s">
        <v>3</v>
      </c>
      <c r="O602"/>
    </row>
    <row r="603" spans="1:18" ht="30" customHeight="1" thickBot="1" x14ac:dyDescent="0.3">
      <c r="A603" s="20"/>
      <c r="B603" s="476" t="s">
        <v>771</v>
      </c>
      <c r="C603" s="477"/>
      <c r="D603" s="477"/>
      <c r="E603" s="477"/>
      <c r="F603" s="477"/>
      <c r="G603" s="477"/>
      <c r="H603" s="478"/>
      <c r="I603" s="18"/>
      <c r="J603" s="185" t="s">
        <v>358</v>
      </c>
      <c r="K603" s="305">
        <f>SUM(K600:K602)</f>
        <v>74.013454727975713</v>
      </c>
      <c r="L603" s="20" t="s">
        <v>3</v>
      </c>
      <c r="M603" s="670"/>
      <c r="N603" s="671"/>
      <c r="O603" s="43"/>
      <c r="P603" s="672"/>
      <c r="Q603" s="671"/>
      <c r="R603" s="673"/>
    </row>
    <row r="604" spans="1:18" s="49" customFormat="1" ht="30" customHeight="1" thickBot="1" x14ac:dyDescent="0.3">
      <c r="A604" s="76"/>
      <c r="B604" s="77"/>
      <c r="C604" s="77"/>
      <c r="D604" s="77"/>
      <c r="E604" s="77"/>
      <c r="F604" s="77"/>
      <c r="G604" s="77"/>
      <c r="H604" s="77"/>
      <c r="I604" s="77"/>
      <c r="J604" s="77"/>
      <c r="K604" s="77"/>
      <c r="L604" s="78"/>
      <c r="M604" s="674"/>
      <c r="N604" s="671"/>
      <c r="O604" s="50"/>
      <c r="P604" s="672"/>
      <c r="Q604" s="671"/>
      <c r="R604" s="673"/>
    </row>
    <row r="605" spans="1:18" ht="30" customHeight="1" x14ac:dyDescent="0.25">
      <c r="A605" s="30" t="s">
        <v>288</v>
      </c>
      <c r="B605" s="208">
        <v>1493</v>
      </c>
      <c r="C605" s="209" t="s">
        <v>772</v>
      </c>
      <c r="D605" s="210"/>
      <c r="E605" s="177" t="s">
        <v>291</v>
      </c>
      <c r="F605" s="178" t="s">
        <v>11</v>
      </c>
      <c r="G605" s="250" t="s">
        <v>290</v>
      </c>
      <c r="H605" s="388">
        <v>1</v>
      </c>
      <c r="I605" s="177" t="s">
        <v>292</v>
      </c>
      <c r="J605" s="488" t="s">
        <v>617</v>
      </c>
      <c r="K605" s="488"/>
      <c r="L605" s="489"/>
      <c r="M605" s="670"/>
      <c r="N605" s="671"/>
      <c r="O605" s="43"/>
      <c r="P605" s="672"/>
      <c r="Q605" s="671"/>
      <c r="R605" s="673"/>
    </row>
    <row r="606" spans="1:18" ht="30" customHeight="1" x14ac:dyDescent="0.25">
      <c r="A606" s="48" t="s">
        <v>529</v>
      </c>
      <c r="B606" s="394" t="s">
        <v>560</v>
      </c>
      <c r="C606" s="395"/>
      <c r="D606" s="396"/>
      <c r="E606" s="397" t="s">
        <v>519</v>
      </c>
      <c r="F606" s="397" t="s">
        <v>561</v>
      </c>
      <c r="G606" s="398" t="s">
        <v>562</v>
      </c>
      <c r="H606" s="399"/>
      <c r="I606" s="400" t="s">
        <v>530</v>
      </c>
      <c r="J606" s="675"/>
      <c r="K606" s="507" t="s">
        <v>521</v>
      </c>
      <c r="L606" s="508"/>
      <c r="M606" s="670"/>
      <c r="N606" s="671"/>
      <c r="O606" s="43"/>
      <c r="P606" s="672"/>
      <c r="Q606" s="671"/>
      <c r="R606" s="673"/>
    </row>
    <row r="607" spans="1:18" ht="30" customHeight="1" x14ac:dyDescent="0.25">
      <c r="A607" s="61" t="s">
        <v>773</v>
      </c>
      <c r="B607" s="503" t="s">
        <v>774</v>
      </c>
      <c r="C607" s="504"/>
      <c r="D607" s="505"/>
      <c r="E607" s="405">
        <f>+(139+165)/2</f>
        <v>152</v>
      </c>
      <c r="F607" s="20" t="s">
        <v>7</v>
      </c>
      <c r="G607" s="656">
        <v>1000</v>
      </c>
      <c r="H607" s="407" t="s">
        <v>775</v>
      </c>
      <c r="I607" s="20">
        <v>1.04</v>
      </c>
      <c r="J607" s="61"/>
      <c r="K607" s="530">
        <f>+E607*I607*G607</f>
        <v>158080</v>
      </c>
      <c r="L607" s="61" t="s">
        <v>11</v>
      </c>
      <c r="M607" s="670"/>
      <c r="N607" s="671"/>
      <c r="O607" s="43"/>
      <c r="P607" s="672"/>
      <c r="Q607" s="671"/>
      <c r="R607" s="673"/>
    </row>
    <row r="608" spans="1:18" ht="30" customHeight="1" x14ac:dyDescent="0.25">
      <c r="A608" s="61" t="s">
        <v>773</v>
      </c>
      <c r="B608" s="503" t="s">
        <v>776</v>
      </c>
      <c r="C608" s="504"/>
      <c r="D608" s="505"/>
      <c r="E608" s="405">
        <f>+(43700+53500)/2</f>
        <v>48600</v>
      </c>
      <c r="F608" s="20" t="s">
        <v>11</v>
      </c>
      <c r="G608" s="656">
        <v>2</v>
      </c>
      <c r="H608" s="407" t="s">
        <v>335</v>
      </c>
      <c r="I608" s="20">
        <v>1.04</v>
      </c>
      <c r="J608" s="61"/>
      <c r="K608" s="530">
        <f>+E608*I608*G608</f>
        <v>101088</v>
      </c>
      <c r="L608" s="61" t="s">
        <v>11</v>
      </c>
      <c r="M608" s="670"/>
      <c r="N608" s="671"/>
      <c r="O608" s="43"/>
      <c r="P608" s="672"/>
      <c r="Q608" s="671"/>
      <c r="R608" s="673"/>
    </row>
    <row r="609" spans="1:21" ht="30" customHeight="1" x14ac:dyDescent="0.25">
      <c r="A609" s="61" t="s">
        <v>777</v>
      </c>
      <c r="B609" s="402" t="s">
        <v>778</v>
      </c>
      <c r="C609" s="403"/>
      <c r="D609" s="404"/>
      <c r="E609" s="405">
        <v>17.95</v>
      </c>
      <c r="F609" s="20" t="s">
        <v>9</v>
      </c>
      <c r="G609" s="656">
        <v>1250</v>
      </c>
      <c r="H609" s="407" t="s">
        <v>779</v>
      </c>
      <c r="I609" s="20">
        <v>1.03</v>
      </c>
      <c r="J609" s="61"/>
      <c r="K609" s="530">
        <f>+E609*I609*G609*4</f>
        <v>92442.499999999985</v>
      </c>
      <c r="L609" s="61" t="s">
        <v>11</v>
      </c>
      <c r="M609" s="670"/>
      <c r="N609" s="671"/>
      <c r="O609" s="43"/>
      <c r="P609" s="672"/>
      <c r="Q609" s="671"/>
      <c r="R609" s="673"/>
    </row>
    <row r="610" spans="1:21" ht="30" customHeight="1" x14ac:dyDescent="0.25">
      <c r="A610" s="61" t="s">
        <v>780</v>
      </c>
      <c r="B610" s="402" t="s">
        <v>781</v>
      </c>
      <c r="C610" s="403"/>
      <c r="D610" s="404"/>
      <c r="E610" s="405">
        <v>17.95</v>
      </c>
      <c r="F610" s="20" t="s">
        <v>7</v>
      </c>
      <c r="G610" s="656">
        <v>6000</v>
      </c>
      <c r="H610" s="407" t="s">
        <v>779</v>
      </c>
      <c r="I610" s="20">
        <v>1.04</v>
      </c>
      <c r="J610" s="61"/>
      <c r="K610" s="530">
        <f>+E610*I610*G610</f>
        <v>112008</v>
      </c>
      <c r="L610" s="61" t="s">
        <v>11</v>
      </c>
      <c r="M610" s="1930"/>
      <c r="N610" s="1931"/>
      <c r="O610" s="43"/>
      <c r="P610" s="672"/>
      <c r="Q610" s="671"/>
      <c r="R610" s="673"/>
    </row>
    <row r="611" spans="1:21" ht="30" customHeight="1" x14ac:dyDescent="0.25">
      <c r="A611" s="61" t="s">
        <v>782</v>
      </c>
      <c r="B611" s="195" t="s">
        <v>783</v>
      </c>
      <c r="C611" s="196"/>
      <c r="D611" s="197"/>
      <c r="E611" s="405">
        <f>(4.89+6.86)/2</f>
        <v>5.875</v>
      </c>
      <c r="F611" s="61" t="s">
        <v>307</v>
      </c>
      <c r="G611" s="656">
        <v>3216</v>
      </c>
      <c r="H611" s="513" t="s">
        <v>212</v>
      </c>
      <c r="I611" s="20">
        <v>1.04</v>
      </c>
      <c r="J611" s="61"/>
      <c r="K611" s="530">
        <f>E611*I611*G611/9</f>
        <v>2183.3066666666668</v>
      </c>
      <c r="L611" s="61" t="s">
        <v>11</v>
      </c>
      <c r="M611" s="434"/>
      <c r="N611" s="105"/>
      <c r="O611" s="43"/>
      <c r="P611" s="672"/>
      <c r="Q611" s="671"/>
      <c r="R611" s="673"/>
    </row>
    <row r="612" spans="1:21" ht="30" customHeight="1" x14ac:dyDescent="0.25">
      <c r="A612" s="61"/>
      <c r="B612" s="204"/>
      <c r="C612" s="205"/>
      <c r="D612" s="206"/>
      <c r="E612" s="530"/>
      <c r="F612" s="61"/>
      <c r="G612" s="402"/>
      <c r="H612" s="404"/>
      <c r="I612" s="61"/>
      <c r="J612" s="61" t="s">
        <v>646</v>
      </c>
      <c r="K612" s="530">
        <f>SUM(K607:K611)</f>
        <v>465801.80666666664</v>
      </c>
      <c r="L612" s="61" t="s">
        <v>11</v>
      </c>
      <c r="M612" s="434"/>
      <c r="N612" s="105"/>
      <c r="O612" s="43"/>
      <c r="P612" s="672"/>
      <c r="Q612" s="671"/>
      <c r="R612" s="673"/>
    </row>
    <row r="613" spans="1:21" ht="30" customHeight="1" x14ac:dyDescent="0.25">
      <c r="A613" s="61"/>
      <c r="B613" s="402"/>
      <c r="C613" s="403"/>
      <c r="D613" s="404"/>
      <c r="E613" s="530"/>
      <c r="F613" s="676" t="s">
        <v>533</v>
      </c>
      <c r="G613" s="677" t="s">
        <v>534</v>
      </c>
      <c r="H613" s="677"/>
      <c r="I613" s="677"/>
      <c r="J613" s="677"/>
      <c r="K613" s="340">
        <v>1.04</v>
      </c>
      <c r="L613" s="24"/>
      <c r="M613" s="434"/>
      <c r="N613" s="105"/>
      <c r="O613" s="43"/>
      <c r="P613" s="672"/>
      <c r="Q613" s="671"/>
      <c r="R613" s="673"/>
    </row>
    <row r="614" spans="1:21" ht="30" customHeight="1" x14ac:dyDescent="0.25">
      <c r="A614" s="61"/>
      <c r="B614" s="498"/>
      <c r="C614" s="498"/>
      <c r="D614" s="498"/>
      <c r="E614" s="530"/>
      <c r="F614" s="678"/>
      <c r="G614" s="679" t="s">
        <v>535</v>
      </c>
      <c r="H614" s="679"/>
      <c r="I614" s="679"/>
      <c r="J614" s="679"/>
      <c r="K614" s="340">
        <v>1.02</v>
      </c>
      <c r="L614" s="24"/>
      <c r="M614" s="434"/>
      <c r="N614" s="105"/>
      <c r="O614" s="43"/>
      <c r="P614" s="672"/>
      <c r="Q614" s="671"/>
      <c r="R614" s="673"/>
    </row>
    <row r="615" spans="1:21" ht="30" customHeight="1" x14ac:dyDescent="0.25">
      <c r="A615" s="61"/>
      <c r="B615" s="61"/>
      <c r="C615" s="63"/>
      <c r="D615" s="63"/>
      <c r="E615" s="63"/>
      <c r="F615" s="63"/>
      <c r="G615" s="63"/>
      <c r="H615" s="63"/>
      <c r="I615" s="63"/>
      <c r="J615" s="61" t="s">
        <v>358</v>
      </c>
      <c r="K615" s="21">
        <f>+K612*K613/K614</f>
        <v>474935.17542483658</v>
      </c>
      <c r="L615" s="61" t="s">
        <v>11</v>
      </c>
      <c r="M615" s="434"/>
      <c r="N615" s="105"/>
      <c r="O615" s="43"/>
      <c r="P615" s="672"/>
      <c r="Q615" s="671"/>
      <c r="R615" s="673"/>
    </row>
    <row r="616" spans="1:21" ht="30" customHeight="1" thickBot="1" x14ac:dyDescent="0.3">
      <c r="A616" s="61"/>
      <c r="B616" s="61"/>
      <c r="C616" s="63"/>
      <c r="D616" s="63"/>
      <c r="E616" s="63"/>
      <c r="F616" s="63"/>
      <c r="G616" s="445" t="s">
        <v>537</v>
      </c>
      <c r="H616" s="63"/>
      <c r="I616" s="63"/>
      <c r="J616" s="361">
        <f>VLOOKUP(B605,'Mil Cost Premiums for RUCs'!$A$4:$R$265,18,FALSE)</f>
        <v>1.1199953840399997</v>
      </c>
      <c r="K616" s="21">
        <f>+K615*J616</f>
        <v>531925.20419404446</v>
      </c>
      <c r="L616" s="61" t="s">
        <v>11</v>
      </c>
      <c r="P616" s="43"/>
      <c r="Q616" s="43"/>
      <c r="R616" s="43"/>
      <c r="S616" s="60"/>
      <c r="T616" s="60"/>
      <c r="U616" s="43"/>
    </row>
    <row r="617" spans="1:21" s="49" customFormat="1" ht="30" customHeight="1" thickBot="1" x14ac:dyDescent="0.3">
      <c r="A617" s="76"/>
      <c r="B617" s="77"/>
      <c r="C617" s="77"/>
      <c r="D617" s="77"/>
      <c r="E617" s="77"/>
      <c r="F617" s="77"/>
      <c r="G617" s="77"/>
      <c r="H617" s="77"/>
      <c r="I617" s="77"/>
      <c r="J617" s="77"/>
      <c r="K617" s="77"/>
      <c r="L617" s="78"/>
      <c r="M617" s="502"/>
      <c r="N617" s="502"/>
      <c r="O617" s="27"/>
      <c r="P617" s="50"/>
      <c r="Q617" s="50"/>
      <c r="R617" s="50"/>
      <c r="S617" s="212"/>
      <c r="T617" s="212"/>
      <c r="U617" s="50"/>
    </row>
    <row r="618" spans="1:21" s="41" customFormat="1" ht="30" customHeight="1" x14ac:dyDescent="0.25">
      <c r="A618" s="30" t="s">
        <v>288</v>
      </c>
      <c r="B618" s="208">
        <v>1494</v>
      </c>
      <c r="C618" s="282" t="s">
        <v>784</v>
      </c>
      <c r="D618" s="283"/>
      <c r="E618" s="177" t="s">
        <v>291</v>
      </c>
      <c r="F618" s="178" t="s">
        <v>11</v>
      </c>
      <c r="G618" s="250" t="s">
        <v>290</v>
      </c>
      <c r="H618" s="388">
        <v>1</v>
      </c>
      <c r="I618" s="177" t="s">
        <v>292</v>
      </c>
      <c r="J618" s="38" t="s">
        <v>623</v>
      </c>
      <c r="K618" s="39"/>
      <c r="L618" s="40"/>
      <c r="M618" s="341"/>
      <c r="N618" s="341"/>
      <c r="O618" s="42"/>
    </row>
    <row r="619" spans="1:21" s="41" customFormat="1" ht="30" customHeight="1" x14ac:dyDescent="0.25">
      <c r="A619" s="44" t="s">
        <v>517</v>
      </c>
      <c r="B619" s="180" t="s">
        <v>295</v>
      </c>
      <c r="C619" s="180"/>
      <c r="D619" s="180"/>
      <c r="E619" s="285" t="s">
        <v>519</v>
      </c>
      <c r="F619" s="664" t="s">
        <v>2</v>
      </c>
      <c r="G619" s="665" t="s">
        <v>562</v>
      </c>
      <c r="H619" s="666"/>
      <c r="I619" s="286" t="s">
        <v>520</v>
      </c>
      <c r="J619" s="287"/>
      <c r="K619" s="288" t="s">
        <v>521</v>
      </c>
      <c r="L619" s="289"/>
      <c r="M619" s="341"/>
      <c r="N619" s="341"/>
      <c r="O619" s="42"/>
    </row>
    <row r="620" spans="1:21" s="41" customFormat="1" ht="30" customHeight="1" x14ac:dyDescent="0.25">
      <c r="A620" s="61">
        <v>93410</v>
      </c>
      <c r="B620" s="402" t="s">
        <v>767</v>
      </c>
      <c r="C620" s="403"/>
      <c r="D620" s="404"/>
      <c r="E620" s="405">
        <v>8</v>
      </c>
      <c r="F620" s="20" t="s">
        <v>307</v>
      </c>
      <c r="G620" s="680">
        <v>3</v>
      </c>
      <c r="H620" s="680" t="s">
        <v>768</v>
      </c>
      <c r="I620" s="295">
        <f>+'MILCON Inflation Table'!$F$17</f>
        <v>0.9432470865927236</v>
      </c>
      <c r="J620" s="296"/>
      <c r="K620" s="304">
        <f>+E620/G620*I620</f>
        <v>2.5153255642472629</v>
      </c>
      <c r="L620" s="290" t="s">
        <v>3</v>
      </c>
      <c r="M620" s="341"/>
      <c r="N620" s="341"/>
      <c r="O620" s="42"/>
    </row>
    <row r="621" spans="1:21" ht="30" customHeight="1" x14ac:dyDescent="0.25">
      <c r="A621" s="61">
        <v>85110</v>
      </c>
      <c r="B621" s="191" t="s">
        <v>785</v>
      </c>
      <c r="C621" s="191"/>
      <c r="D621" s="191"/>
      <c r="E621" s="405">
        <v>12.4</v>
      </c>
      <c r="F621" s="20" t="s">
        <v>3</v>
      </c>
      <c r="G621" s="293"/>
      <c r="H621" s="293"/>
      <c r="I621" s="295">
        <f>+'MILCON Inflation Table'!$F$17</f>
        <v>0.9432470865927236</v>
      </c>
      <c r="J621" s="296"/>
      <c r="K621" s="304">
        <f>+E621*I621</f>
        <v>11.696263873749773</v>
      </c>
      <c r="L621" s="290" t="s">
        <v>3</v>
      </c>
    </row>
    <row r="622" spans="1:21" ht="30" customHeight="1" x14ac:dyDescent="0.25">
      <c r="A622" s="61">
        <v>85110</v>
      </c>
      <c r="B622" s="402" t="s">
        <v>786</v>
      </c>
      <c r="C622" s="403"/>
      <c r="D622" s="404"/>
      <c r="E622" s="405">
        <v>18.100000000000001</v>
      </c>
      <c r="F622" s="20" t="s">
        <v>3</v>
      </c>
      <c r="G622" s="293"/>
      <c r="H622" s="293"/>
      <c r="I622" s="295">
        <f>+'MILCON Inflation Table'!$F$17</f>
        <v>0.9432470865927236</v>
      </c>
      <c r="J622" s="296"/>
      <c r="K622" s="304">
        <f>+E622*I622</f>
        <v>17.072772267328297</v>
      </c>
      <c r="L622" s="290" t="s">
        <v>3</v>
      </c>
      <c r="M622" s="681"/>
    </row>
    <row r="623" spans="1:21" ht="30" customHeight="1" x14ac:dyDescent="0.25">
      <c r="A623" s="61"/>
      <c r="B623" s="506"/>
      <c r="C623" s="524"/>
      <c r="D623" s="524"/>
      <c r="E623" s="682"/>
      <c r="F623" s="683"/>
      <c r="G623" s="516"/>
      <c r="H623" s="684"/>
      <c r="I623" s="685"/>
      <c r="J623" s="685" t="s">
        <v>578</v>
      </c>
      <c r="K623" s="304">
        <f>SUM(K620:K622)</f>
        <v>31.284361705325331</v>
      </c>
      <c r="L623" s="290" t="s">
        <v>3</v>
      </c>
      <c r="M623" s="419"/>
      <c r="N623" s="420"/>
      <c r="O623"/>
      <c r="P623" s="412"/>
      <c r="Q623" s="391"/>
      <c r="R623" s="393"/>
    </row>
    <row r="624" spans="1:21" s="49" customFormat="1" ht="30" customHeight="1" x14ac:dyDescent="0.25">
      <c r="A624" s="61"/>
      <c r="B624" s="191" t="s">
        <v>787</v>
      </c>
      <c r="C624" s="191"/>
      <c r="D624" s="191"/>
      <c r="E624" s="686">
        <f>(111*74)/9</f>
        <v>912.66666666666663</v>
      </c>
      <c r="F624" s="20" t="s">
        <v>3</v>
      </c>
      <c r="G624" s="516"/>
      <c r="H624" s="684"/>
      <c r="I624" s="687"/>
      <c r="J624" s="687"/>
      <c r="K624" s="304">
        <f>+K623*E624</f>
        <v>28552.194116393584</v>
      </c>
      <c r="L624" s="290" t="s">
        <v>11</v>
      </c>
      <c r="M624" s="425"/>
      <c r="N624" s="420"/>
      <c r="P624" s="412"/>
      <c r="Q624" s="391"/>
      <c r="R624" s="393"/>
    </row>
    <row r="625" spans="1:21" ht="30" customHeight="1" thickBot="1" x14ac:dyDescent="0.3">
      <c r="A625" s="61"/>
      <c r="B625" s="688" t="s">
        <v>788</v>
      </c>
      <c r="C625" s="689"/>
      <c r="D625" s="689"/>
      <c r="E625" s="689"/>
      <c r="F625" s="689"/>
      <c r="G625" s="689"/>
      <c r="H625" s="690"/>
      <c r="I625" s="18"/>
      <c r="J625" s="185" t="s">
        <v>358</v>
      </c>
      <c r="K625" s="305">
        <f>+K624</f>
        <v>28552.194116393584</v>
      </c>
      <c r="L625" s="290" t="s">
        <v>11</v>
      </c>
      <c r="O625"/>
      <c r="P625" s="412"/>
      <c r="Q625" s="391"/>
      <c r="R625" s="393"/>
    </row>
    <row r="626" spans="1:21" ht="30" customHeight="1" thickBot="1" x14ac:dyDescent="0.3">
      <c r="A626" s="76"/>
      <c r="B626" s="77"/>
      <c r="C626" s="77"/>
      <c r="D626" s="77"/>
      <c r="E626" s="77"/>
      <c r="F626" s="77"/>
      <c r="G626" s="77"/>
      <c r="H626" s="77"/>
      <c r="I626" s="77"/>
      <c r="J626" s="77"/>
      <c r="K626" s="77"/>
      <c r="L626" s="78"/>
      <c r="O626"/>
      <c r="P626" s="412"/>
      <c r="Q626" s="391"/>
      <c r="R626" s="393"/>
    </row>
    <row r="627" spans="1:21" ht="30" customHeight="1" x14ac:dyDescent="0.25">
      <c r="A627" s="306" t="s">
        <v>288</v>
      </c>
      <c r="B627" s="418">
        <v>1495</v>
      </c>
      <c r="C627" s="691" t="s">
        <v>789</v>
      </c>
      <c r="D627" s="692"/>
      <c r="E627" s="540" t="s">
        <v>291</v>
      </c>
      <c r="F627" s="541" t="s">
        <v>11</v>
      </c>
      <c r="G627" s="693" t="s">
        <v>290</v>
      </c>
      <c r="H627" s="694">
        <v>1</v>
      </c>
      <c r="I627" s="540" t="s">
        <v>292</v>
      </c>
      <c r="J627" s="488" t="s">
        <v>617</v>
      </c>
      <c r="K627" s="488"/>
      <c r="L627" s="489"/>
      <c r="O627"/>
      <c r="P627" s="412"/>
      <c r="Q627" s="391"/>
      <c r="R627" s="393"/>
    </row>
    <row r="628" spans="1:21" ht="30" customHeight="1" x14ac:dyDescent="0.25">
      <c r="A628" s="695" t="s">
        <v>529</v>
      </c>
      <c r="B628" s="543" t="s">
        <v>560</v>
      </c>
      <c r="C628" s="544"/>
      <c r="D628" s="545"/>
      <c r="E628" s="546" t="s">
        <v>519</v>
      </c>
      <c r="F628" s="546" t="s">
        <v>561</v>
      </c>
      <c r="G628" s="547" t="s">
        <v>562</v>
      </c>
      <c r="H628" s="548"/>
      <c r="I628" s="424" t="s">
        <v>530</v>
      </c>
      <c r="J628" s="424"/>
      <c r="K628" s="288" t="s">
        <v>521</v>
      </c>
      <c r="L628" s="289"/>
      <c r="O628"/>
      <c r="P628" s="412"/>
      <c r="Q628" s="391"/>
      <c r="R628" s="393"/>
    </row>
    <row r="629" spans="1:21" ht="30" customHeight="1" x14ac:dyDescent="0.25">
      <c r="A629" s="24" t="s">
        <v>782</v>
      </c>
      <c r="B629" s="346" t="s">
        <v>790</v>
      </c>
      <c r="C629" s="347"/>
      <c r="D629" s="348"/>
      <c r="E629" s="696">
        <v>29.75</v>
      </c>
      <c r="F629" s="5" t="s">
        <v>307</v>
      </c>
      <c r="G629" s="697">
        <v>177</v>
      </c>
      <c r="H629" s="698" t="s">
        <v>791</v>
      </c>
      <c r="I629" s="10">
        <v>1.04</v>
      </c>
      <c r="J629" s="10"/>
      <c r="K629" s="699">
        <f>+E629*G629*I629</f>
        <v>5476.38</v>
      </c>
      <c r="L629" s="5" t="s">
        <v>11</v>
      </c>
      <c r="O629"/>
      <c r="P629" s="412"/>
      <c r="Q629" s="391"/>
      <c r="R629" s="393"/>
    </row>
    <row r="630" spans="1:21" ht="30" customHeight="1" x14ac:dyDescent="0.25">
      <c r="A630" s="24" t="s">
        <v>782</v>
      </c>
      <c r="B630" s="323" t="s">
        <v>792</v>
      </c>
      <c r="C630" s="324"/>
      <c r="D630" s="325"/>
      <c r="E630" s="696">
        <v>11.6</v>
      </c>
      <c r="F630" s="5" t="s">
        <v>307</v>
      </c>
      <c r="G630" s="697">
        <v>177</v>
      </c>
      <c r="H630" s="698" t="s">
        <v>791</v>
      </c>
      <c r="I630" s="10">
        <v>1.04</v>
      </c>
      <c r="J630" s="10"/>
      <c r="K630" s="699">
        <f>+E630*G630*I630</f>
        <v>2135.328</v>
      </c>
      <c r="L630" s="5" t="s">
        <v>11</v>
      </c>
      <c r="O630"/>
      <c r="P630" s="412"/>
      <c r="Q630" s="391"/>
      <c r="R630" s="393"/>
    </row>
    <row r="631" spans="1:21" ht="30" customHeight="1" x14ac:dyDescent="0.25">
      <c r="A631" s="24" t="s">
        <v>782</v>
      </c>
      <c r="B631" s="323" t="s">
        <v>793</v>
      </c>
      <c r="C631" s="324"/>
      <c r="D631" s="325"/>
      <c r="E631" s="700">
        <f>+(81.5+247)/2</f>
        <v>164.25</v>
      </c>
      <c r="F631" s="5" t="s">
        <v>3</v>
      </c>
      <c r="G631" s="697">
        <v>133</v>
      </c>
      <c r="H631" s="698" t="s">
        <v>794</v>
      </c>
      <c r="I631" s="10">
        <v>1.04</v>
      </c>
      <c r="J631" s="10"/>
      <c r="K631" s="699">
        <f>+E631*G631*I631</f>
        <v>22719.06</v>
      </c>
      <c r="L631" s="5" t="s">
        <v>11</v>
      </c>
      <c r="N631" s="671"/>
      <c r="O631" s="43"/>
      <c r="P631" s="672"/>
      <c r="Q631" s="671"/>
      <c r="R631" s="673"/>
    </row>
    <row r="632" spans="1:21" ht="30" customHeight="1" x14ac:dyDescent="0.25">
      <c r="A632" s="24" t="s">
        <v>782</v>
      </c>
      <c r="B632" s="13" t="s">
        <v>795</v>
      </c>
      <c r="C632" s="570"/>
      <c r="D632" s="571"/>
      <c r="E632" s="700">
        <f>+(0.61+4.54)/2</f>
        <v>2.5750000000000002</v>
      </c>
      <c r="F632" s="5" t="s">
        <v>3</v>
      </c>
      <c r="G632" s="697">
        <v>133</v>
      </c>
      <c r="H632" s="698" t="s">
        <v>794</v>
      </c>
      <c r="I632" s="10">
        <v>1.04</v>
      </c>
      <c r="J632" s="10"/>
      <c r="K632" s="699">
        <f>+E632*G632*I632</f>
        <v>356.17400000000004</v>
      </c>
      <c r="L632" s="5" t="s">
        <v>11</v>
      </c>
      <c r="M632" s="670"/>
      <c r="N632" s="671"/>
      <c r="O632" s="43"/>
      <c r="P632" s="672"/>
      <c r="Q632" s="671"/>
      <c r="R632" s="673"/>
    </row>
    <row r="633" spans="1:21" ht="30" customHeight="1" x14ac:dyDescent="0.25">
      <c r="A633" s="24"/>
      <c r="B633" s="701" t="s">
        <v>796</v>
      </c>
      <c r="C633" s="701"/>
      <c r="D633" s="701"/>
      <c r="E633" s="702"/>
      <c r="F633" s="5"/>
      <c r="G633" s="697"/>
      <c r="H633" s="698"/>
      <c r="I633" s="10"/>
      <c r="J633" s="10"/>
      <c r="K633" s="699"/>
      <c r="L633" s="5"/>
      <c r="M633" s="419"/>
      <c r="N633" s="420"/>
      <c r="O633"/>
      <c r="P633" s="412"/>
      <c r="Q633" s="391"/>
      <c r="R633" s="393"/>
    </row>
    <row r="634" spans="1:21" ht="30" customHeight="1" x14ac:dyDescent="0.25">
      <c r="A634" s="64"/>
      <c r="B634" s="703"/>
      <c r="C634" s="704"/>
      <c r="D634" s="704"/>
      <c r="E634" s="705"/>
      <c r="F634" s="10"/>
      <c r="G634" s="10"/>
      <c r="H634" s="10"/>
      <c r="I634" s="10"/>
      <c r="J634" s="10" t="s">
        <v>646</v>
      </c>
      <c r="K634" s="706">
        <f>SUM(K629:K633)</f>
        <v>30686.942000000003</v>
      </c>
      <c r="L634" s="10" t="s">
        <v>11</v>
      </c>
      <c r="M634" s="419"/>
      <c r="N634" s="1893"/>
      <c r="O634"/>
      <c r="P634" s="412"/>
      <c r="Q634" s="391"/>
      <c r="R634" s="393"/>
    </row>
    <row r="635" spans="1:21" ht="30" customHeight="1" x14ac:dyDescent="0.25">
      <c r="A635" s="61"/>
      <c r="B635" s="410"/>
      <c r="C635" s="410"/>
      <c r="D635" s="410"/>
      <c r="E635" s="405"/>
      <c r="F635" s="338" t="s">
        <v>533</v>
      </c>
      <c r="G635" s="339" t="s">
        <v>534</v>
      </c>
      <c r="H635" s="339"/>
      <c r="I635" s="339"/>
      <c r="J635" s="339"/>
      <c r="K635" s="340">
        <v>1.07</v>
      </c>
      <c r="L635" s="10"/>
      <c r="M635" s="419"/>
      <c r="N635" s="671"/>
      <c r="O635" s="59"/>
      <c r="P635" s="412"/>
      <c r="Q635" s="391"/>
      <c r="R635" s="393"/>
    </row>
    <row r="636" spans="1:21" ht="30" customHeight="1" x14ac:dyDescent="0.25">
      <c r="A636" s="61"/>
      <c r="B636" s="410"/>
      <c r="C636" s="410"/>
      <c r="D636" s="410"/>
      <c r="E636" s="405"/>
      <c r="F636" s="343"/>
      <c r="G636" s="344" t="s">
        <v>535</v>
      </c>
      <c r="H636" s="344"/>
      <c r="I636" s="344"/>
      <c r="J636" s="344"/>
      <c r="K636" s="340">
        <v>1.02</v>
      </c>
      <c r="L636" s="10"/>
      <c r="P636" s="43"/>
      <c r="Q636" s="43"/>
      <c r="R636" s="43"/>
      <c r="S636" s="60"/>
      <c r="T636" s="60"/>
      <c r="U636" s="43"/>
    </row>
    <row r="637" spans="1:21" s="49" customFormat="1" ht="30" customHeight="1" x14ac:dyDescent="0.25">
      <c r="A637" s="64"/>
      <c r="B637" s="24"/>
      <c r="C637" s="64"/>
      <c r="D637" s="64"/>
      <c r="E637" s="64"/>
      <c r="F637" s="64"/>
      <c r="G637" s="64"/>
      <c r="H637" s="64"/>
      <c r="I637" s="64"/>
      <c r="J637" s="24" t="s">
        <v>358</v>
      </c>
      <c r="K637" s="707">
        <f>+K634*K635/K636</f>
        <v>32191.203862745104</v>
      </c>
      <c r="L637" s="24" t="s">
        <v>11</v>
      </c>
      <c r="M637" s="502"/>
      <c r="N637" s="502"/>
      <c r="O637" s="27"/>
      <c r="P637" s="50"/>
      <c r="Q637" s="50"/>
      <c r="R637" s="50"/>
      <c r="S637" s="212"/>
      <c r="T637" s="212"/>
      <c r="U637" s="50"/>
    </row>
    <row r="638" spans="1:21" s="41" customFormat="1" ht="30" customHeight="1" x14ac:dyDescent="0.25">
      <c r="A638" s="64"/>
      <c r="B638" s="24"/>
      <c r="C638" s="64"/>
      <c r="D638" s="64"/>
      <c r="E638" s="64"/>
      <c r="F638" s="64"/>
      <c r="G638" s="708" t="s">
        <v>652</v>
      </c>
      <c r="H638" s="64"/>
      <c r="I638" s="64"/>
      <c r="J638" s="447">
        <f>VLOOKUP(B627,'Mil Cost Premiums for RUCs'!$A$4:$R$265,18,FALSE)</f>
        <v>1.0209999999999999</v>
      </c>
      <c r="K638" s="707">
        <f>+K637*J638</f>
        <v>32867.219143862749</v>
      </c>
      <c r="L638" s="24" t="s">
        <v>11</v>
      </c>
      <c r="M638" s="341"/>
      <c r="N638" s="342"/>
      <c r="O638" s="42"/>
    </row>
    <row r="639" spans="1:21" s="41" customFormat="1" ht="75" customHeight="1" x14ac:dyDescent="0.25">
      <c r="A639" s="449" t="s">
        <v>538</v>
      </c>
      <c r="B639" s="450"/>
      <c r="C639" s="450"/>
      <c r="D639" s="450"/>
      <c r="E639" s="450"/>
      <c r="F639" s="450"/>
      <c r="G639" s="450"/>
      <c r="H639" s="450"/>
      <c r="I639" s="450"/>
      <c r="J639" s="450"/>
      <c r="K639" s="450"/>
      <c r="L639" s="451"/>
      <c r="M639" s="341"/>
      <c r="N639" s="342"/>
      <c r="O639" s="42"/>
    </row>
    <row r="640" spans="1:21" s="41" customFormat="1" ht="45" customHeight="1" x14ac:dyDescent="0.25">
      <c r="A640" s="372" t="s">
        <v>539</v>
      </c>
      <c r="B640" s="452"/>
      <c r="C640" s="452"/>
      <c r="D640" s="386" t="s">
        <v>797</v>
      </c>
      <c r="E640" s="709"/>
      <c r="F640" s="709"/>
      <c r="G640" s="709"/>
      <c r="H640" s="709"/>
      <c r="I640" s="709"/>
      <c r="J640" s="709"/>
      <c r="K640" s="709"/>
      <c r="L640" s="710"/>
      <c r="M640" s="341"/>
      <c r="N640" s="342"/>
      <c r="O640" s="42"/>
    </row>
    <row r="641" spans="1:18" s="41" customFormat="1" ht="30" customHeight="1" x14ac:dyDescent="0.25">
      <c r="A641" s="372" t="s">
        <v>541</v>
      </c>
      <c r="B641" s="452"/>
      <c r="C641" s="452"/>
      <c r="D641" s="563" t="s">
        <v>798</v>
      </c>
      <c r="E641" s="560"/>
      <c r="F641" s="560"/>
      <c r="G641" s="560"/>
      <c r="H641" s="560"/>
      <c r="I641" s="560"/>
      <c r="J641" s="560"/>
      <c r="K641" s="560"/>
      <c r="L641" s="561"/>
      <c r="M641" s="341"/>
      <c r="N641" s="342"/>
      <c r="O641" s="42"/>
    </row>
    <row r="642" spans="1:18" s="41" customFormat="1" ht="30" customHeight="1" x14ac:dyDescent="0.25">
      <c r="A642" s="372" t="s">
        <v>543</v>
      </c>
      <c r="B642" s="452"/>
      <c r="C642" s="452"/>
      <c r="D642" s="563" t="s">
        <v>799</v>
      </c>
      <c r="E642" s="383"/>
      <c r="F642" s="383"/>
      <c r="G642" s="383"/>
      <c r="H642" s="383"/>
      <c r="I642" s="383"/>
      <c r="J642" s="383"/>
      <c r="K642" s="383"/>
      <c r="L642" s="384"/>
      <c r="M642" s="1930"/>
      <c r="N642" s="1931"/>
      <c r="O642" s="42"/>
    </row>
    <row r="643" spans="1:18" ht="30" customHeight="1" x14ac:dyDescent="0.25">
      <c r="A643" s="372" t="s">
        <v>546</v>
      </c>
      <c r="B643" s="452"/>
      <c r="C643" s="452"/>
      <c r="D643" s="563" t="s">
        <v>800</v>
      </c>
      <c r="E643" s="560"/>
      <c r="F643" s="560"/>
      <c r="G643" s="560"/>
      <c r="H643" s="560"/>
      <c r="I643" s="560"/>
      <c r="J643" s="560"/>
      <c r="K643" s="560"/>
      <c r="L643" s="561"/>
      <c r="M643" s="1911"/>
      <c r="N643" s="50"/>
    </row>
    <row r="644" spans="1:18" ht="30" customHeight="1" x14ac:dyDescent="0.25">
      <c r="A644" s="372" t="s">
        <v>548</v>
      </c>
      <c r="B644" s="452"/>
      <c r="C644" s="452"/>
      <c r="D644" s="563" t="s">
        <v>549</v>
      </c>
      <c r="E644" s="560"/>
      <c r="F644" s="560"/>
      <c r="G644" s="560"/>
      <c r="H644" s="560"/>
      <c r="I644" s="560"/>
      <c r="J644" s="560"/>
      <c r="K644" s="560"/>
      <c r="L644" s="561"/>
      <c r="M644" s="43"/>
    </row>
    <row r="645" spans="1:18" ht="30" customHeight="1" x14ac:dyDescent="0.25">
      <c r="A645" s="372" t="s">
        <v>550</v>
      </c>
      <c r="B645" s="452"/>
      <c r="C645" s="452"/>
      <c r="D645" s="563" t="s">
        <v>551</v>
      </c>
      <c r="E645" s="560"/>
      <c r="F645" s="560"/>
      <c r="G645" s="560"/>
      <c r="H645" s="560"/>
      <c r="I645" s="560"/>
      <c r="J645" s="560"/>
      <c r="K645" s="560"/>
      <c r="L645" s="561"/>
      <c r="M645" s="419"/>
      <c r="N645" s="1114"/>
      <c r="O645" s="1114"/>
      <c r="P645" s="412"/>
      <c r="Q645" s="391"/>
      <c r="R645" s="393"/>
    </row>
    <row r="646" spans="1:18" s="49" customFormat="1" ht="30" customHeight="1" x14ac:dyDescent="0.25">
      <c r="A646" s="372" t="s">
        <v>552</v>
      </c>
      <c r="B646" s="452"/>
      <c r="C646" s="452"/>
      <c r="D646" s="563" t="s">
        <v>801</v>
      </c>
      <c r="E646" s="560"/>
      <c r="F646" s="560"/>
      <c r="G646" s="560"/>
      <c r="H646" s="560"/>
      <c r="I646" s="560"/>
      <c r="J646" s="560"/>
      <c r="K646" s="560"/>
      <c r="L646" s="561"/>
      <c r="M646" s="425"/>
      <c r="N646" s="1113"/>
      <c r="O646" s="1113"/>
      <c r="P646" s="412"/>
      <c r="Q646" s="391"/>
      <c r="R646" s="393"/>
    </row>
    <row r="647" spans="1:18" ht="75" customHeight="1" x14ac:dyDescent="0.25">
      <c r="A647" s="372" t="s">
        <v>802</v>
      </c>
      <c r="B647" s="452"/>
      <c r="C647" s="452"/>
      <c r="D647" s="581" t="s">
        <v>660</v>
      </c>
      <c r="E647" s="582"/>
      <c r="F647" s="582"/>
      <c r="G647" s="582"/>
      <c r="H647" s="582"/>
      <c r="I647" s="582"/>
      <c r="J647" s="582"/>
      <c r="K647" s="582"/>
      <c r="L647" s="582"/>
      <c r="M647" s="419"/>
      <c r="N647" s="671"/>
      <c r="O647" s="59"/>
      <c r="P647" s="412"/>
      <c r="Q647" s="391"/>
      <c r="R647" s="393"/>
    </row>
    <row r="648" spans="1:18" ht="60" customHeight="1" thickBot="1" x14ac:dyDescent="0.3">
      <c r="A648" s="563" t="s">
        <v>556</v>
      </c>
      <c r="B648" s="560"/>
      <c r="C648" s="561"/>
      <c r="D648" s="386" t="s">
        <v>803</v>
      </c>
      <c r="E648" s="383"/>
      <c r="F648" s="383"/>
      <c r="G648" s="383"/>
      <c r="H648" s="383"/>
      <c r="I648" s="383"/>
      <c r="J648" s="383"/>
      <c r="K648" s="383"/>
      <c r="L648" s="384"/>
      <c r="M648" s="419"/>
      <c r="N648" s="671"/>
      <c r="O648" s="59"/>
      <c r="P648" s="412"/>
      <c r="Q648" s="391"/>
      <c r="R648" s="393"/>
    </row>
    <row r="649" spans="1:18" ht="30" customHeight="1" thickBot="1" x14ac:dyDescent="0.3">
      <c r="A649" s="76"/>
      <c r="B649" s="77"/>
      <c r="C649" s="77"/>
      <c r="D649" s="77"/>
      <c r="E649" s="77"/>
      <c r="F649" s="77"/>
      <c r="G649" s="77"/>
      <c r="H649" s="77"/>
      <c r="I649" s="77"/>
      <c r="J649" s="77"/>
      <c r="K649" s="77"/>
      <c r="L649" s="78"/>
      <c r="M649" s="419"/>
      <c r="N649" s="420"/>
      <c r="O649"/>
      <c r="P649" s="412"/>
      <c r="Q649" s="391"/>
      <c r="R649" s="393"/>
    </row>
    <row r="650" spans="1:18" ht="30" customHeight="1" x14ac:dyDescent="0.25">
      <c r="A650" s="30" t="s">
        <v>288</v>
      </c>
      <c r="B650" s="208">
        <v>1496</v>
      </c>
      <c r="C650" s="282" t="s">
        <v>804</v>
      </c>
      <c r="D650" s="283"/>
      <c r="E650" s="177" t="s">
        <v>291</v>
      </c>
      <c r="F650" s="178" t="s">
        <v>11</v>
      </c>
      <c r="G650" s="250" t="s">
        <v>290</v>
      </c>
      <c r="H650" s="388">
        <v>1</v>
      </c>
      <c r="I650" s="177" t="s">
        <v>292</v>
      </c>
      <c r="J650" s="38" t="s">
        <v>526</v>
      </c>
      <c r="K650" s="39"/>
      <c r="L650" s="40"/>
      <c r="M650" s="1947"/>
      <c r="N650" s="1955"/>
      <c r="O650"/>
      <c r="P650" s="412"/>
      <c r="Q650" s="391"/>
      <c r="R650" s="393"/>
    </row>
    <row r="651" spans="1:18" ht="30" customHeight="1" x14ac:dyDescent="0.25">
      <c r="A651" s="44" t="s">
        <v>517</v>
      </c>
      <c r="B651" s="180" t="s">
        <v>295</v>
      </c>
      <c r="C651" s="180"/>
      <c r="D651" s="180"/>
      <c r="E651" s="182" t="s">
        <v>518</v>
      </c>
      <c r="F651" s="285" t="s">
        <v>519</v>
      </c>
      <c r="G651" s="181"/>
      <c r="H651" s="181"/>
      <c r="I651" s="286" t="s">
        <v>520</v>
      </c>
      <c r="J651" s="287"/>
      <c r="K651" s="288" t="s">
        <v>521</v>
      </c>
      <c r="L651" s="289"/>
      <c r="M651" s="1947"/>
      <c r="N651" s="1955"/>
      <c r="O651"/>
      <c r="P651" s="412"/>
      <c r="Q651" s="391"/>
      <c r="R651" s="393"/>
    </row>
    <row r="652" spans="1:18" ht="30" customHeight="1" x14ac:dyDescent="0.25">
      <c r="A652" s="61">
        <v>14962</v>
      </c>
      <c r="B652" s="503" t="s">
        <v>805</v>
      </c>
      <c r="C652" s="504"/>
      <c r="D652" s="505"/>
      <c r="E652" s="711" t="s">
        <v>704</v>
      </c>
      <c r="F652" s="602">
        <v>6777000</v>
      </c>
      <c r="G652" s="603"/>
      <c r="H652" s="604"/>
      <c r="I652" s="595">
        <f>+'MILCON Inflation Table'!F15</f>
        <v>0.9813542688910698</v>
      </c>
      <c r="J652" s="596"/>
      <c r="K652" s="597">
        <f>+F652*I652</f>
        <v>6650637.8802747801</v>
      </c>
      <c r="L652" s="20" t="s">
        <v>9</v>
      </c>
      <c r="M652" s="1947"/>
      <c r="N652" s="1955"/>
      <c r="O652"/>
      <c r="P652" s="412"/>
      <c r="Q652" s="391"/>
      <c r="R652" s="393"/>
    </row>
    <row r="653" spans="1:18" ht="30" customHeight="1" thickBot="1" x14ac:dyDescent="0.3">
      <c r="A653" s="61"/>
      <c r="B653" s="191"/>
      <c r="C653" s="191"/>
      <c r="D653" s="191"/>
      <c r="E653" s="586"/>
      <c r="F653" s="587"/>
      <c r="G653" s="587"/>
      <c r="H653" s="588"/>
      <c r="I653" s="598"/>
      <c r="J653" s="185" t="s">
        <v>358</v>
      </c>
      <c r="K653" s="597">
        <f>+K652</f>
        <v>6650637.8802747801</v>
      </c>
      <c r="L653" s="20" t="s">
        <v>9</v>
      </c>
      <c r="M653" s="670"/>
      <c r="N653" s="671"/>
      <c r="O653" s="43"/>
      <c r="P653" s="672"/>
      <c r="Q653" s="671"/>
      <c r="R653" s="673"/>
    </row>
    <row r="654" spans="1:18" ht="30" customHeight="1" thickBot="1" x14ac:dyDescent="0.3">
      <c r="A654" s="76"/>
      <c r="B654" s="77"/>
      <c r="C654" s="77"/>
      <c r="D654" s="77"/>
      <c r="E654" s="77"/>
      <c r="F654" s="77"/>
      <c r="G654" s="77"/>
      <c r="H654" s="77"/>
      <c r="I654" s="77"/>
      <c r="J654" s="77"/>
      <c r="K654" s="77"/>
      <c r="L654" s="78"/>
      <c r="M654" s="670"/>
      <c r="N654" s="671"/>
      <c r="O654" s="43"/>
      <c r="P654" s="672"/>
      <c r="Q654" s="671"/>
      <c r="R654" s="673"/>
    </row>
    <row r="655" spans="1:18" s="128" customFormat="1" ht="30" customHeight="1" x14ac:dyDescent="0.25">
      <c r="A655" s="30" t="s">
        <v>288</v>
      </c>
      <c r="B655" s="31">
        <v>1498</v>
      </c>
      <c r="C655" s="484" t="s">
        <v>806</v>
      </c>
      <c r="D655" s="485"/>
      <c r="E655" s="36" t="s">
        <v>291</v>
      </c>
      <c r="F655" s="37" t="s">
        <v>9</v>
      </c>
      <c r="G655" s="123" t="s">
        <v>375</v>
      </c>
      <c r="H655" s="302">
        <v>341</v>
      </c>
      <c r="I655" s="177" t="s">
        <v>292</v>
      </c>
      <c r="J655" s="38" t="s">
        <v>713</v>
      </c>
      <c r="K655" s="39"/>
      <c r="L655" s="40"/>
      <c r="M655" s="419"/>
      <c r="N655" s="1603"/>
      <c r="P655" s="713"/>
      <c r="Q655" s="712"/>
      <c r="R655" s="714"/>
    </row>
    <row r="656" spans="1:18" s="128" customFormat="1" ht="30" customHeight="1" x14ac:dyDescent="0.25">
      <c r="A656" s="44" t="s">
        <v>517</v>
      </c>
      <c r="B656" s="45" t="s">
        <v>295</v>
      </c>
      <c r="C656" s="45"/>
      <c r="D656" s="45"/>
      <c r="E656" s="715" t="s">
        <v>519</v>
      </c>
      <c r="F656" s="46" t="s">
        <v>518</v>
      </c>
      <c r="G656" s="665" t="s">
        <v>562</v>
      </c>
      <c r="H656" s="666"/>
      <c r="I656" s="286" t="s">
        <v>520</v>
      </c>
      <c r="J656" s="287"/>
      <c r="K656" s="493" t="s">
        <v>521</v>
      </c>
      <c r="L656" s="494"/>
      <c r="M656" s="419"/>
      <c r="N656" s="1893"/>
      <c r="P656" s="713"/>
      <c r="Q656" s="712"/>
      <c r="R656" s="714"/>
    </row>
    <row r="657" spans="1:21" s="128" customFormat="1" ht="30" customHeight="1" x14ac:dyDescent="0.25">
      <c r="A657" s="61">
        <v>14113</v>
      </c>
      <c r="B657" s="716" t="s">
        <v>807</v>
      </c>
      <c r="C657" s="717"/>
      <c r="D657" s="718"/>
      <c r="E657" s="405">
        <v>575</v>
      </c>
      <c r="F657" s="20">
        <v>520</v>
      </c>
      <c r="G657" s="522"/>
      <c r="H657" s="522"/>
      <c r="I657" s="595">
        <f>+'MILCON Inflation Table'!$F$16</f>
        <v>0.96211202832457809</v>
      </c>
      <c r="J657" s="596"/>
      <c r="K657" s="597">
        <f>+E657*I657</f>
        <v>553.2144162866324</v>
      </c>
      <c r="L657" s="20" t="s">
        <v>9</v>
      </c>
      <c r="M657" s="419"/>
      <c r="N657" s="1603"/>
      <c r="P657" s="713"/>
      <c r="Q657" s="712"/>
      <c r="R657" s="714"/>
    </row>
    <row r="658" spans="1:21" s="128" customFormat="1" ht="30" customHeight="1" x14ac:dyDescent="0.25">
      <c r="A658" s="61">
        <v>14113</v>
      </c>
      <c r="B658" s="62" t="s">
        <v>808</v>
      </c>
      <c r="C658" s="62"/>
      <c r="D658" s="62"/>
      <c r="E658" s="405">
        <v>1066</v>
      </c>
      <c r="F658" s="20">
        <v>840</v>
      </c>
      <c r="G658" s="603"/>
      <c r="H658" s="603"/>
      <c r="I658" s="595">
        <f>+'MILCON Inflation Table'!$F$16</f>
        <v>0.96211202832457809</v>
      </c>
      <c r="J658" s="596"/>
      <c r="K658" s="597">
        <f>+E658*I658</f>
        <v>1025.6114221940002</v>
      </c>
      <c r="L658" s="20" t="s">
        <v>9</v>
      </c>
      <c r="M658" s="419"/>
      <c r="N658" s="1603"/>
      <c r="P658" s="713"/>
      <c r="Q658" s="712"/>
      <c r="R658" s="714"/>
    </row>
    <row r="659" spans="1:21" s="128" customFormat="1" ht="30" customHeight="1" x14ac:dyDescent="0.25">
      <c r="A659" s="61">
        <v>14113</v>
      </c>
      <c r="B659" s="498" t="s">
        <v>809</v>
      </c>
      <c r="C659" s="498"/>
      <c r="D659" s="498"/>
      <c r="E659" s="405">
        <v>645</v>
      </c>
      <c r="F659" s="20">
        <v>60</v>
      </c>
      <c r="G659" s="603"/>
      <c r="H659" s="603"/>
      <c r="I659" s="595">
        <f>+'MILCON Inflation Table'!$F$16</f>
        <v>0.96211202832457809</v>
      </c>
      <c r="J659" s="596"/>
      <c r="K659" s="597">
        <f>+E659*I659</f>
        <v>620.56225826935292</v>
      </c>
      <c r="L659" s="20" t="s">
        <v>9</v>
      </c>
      <c r="M659" s="419"/>
      <c r="N659" s="1603"/>
      <c r="P659" s="713"/>
      <c r="Q659" s="712"/>
      <c r="R659" s="714"/>
    </row>
    <row r="660" spans="1:21" s="128" customFormat="1" ht="30" customHeight="1" thickBot="1" x14ac:dyDescent="0.3">
      <c r="A660" s="61"/>
      <c r="B660" s="34"/>
      <c r="C660" s="163"/>
      <c r="D660" s="163"/>
      <c r="E660" s="163"/>
      <c r="F660" s="719"/>
      <c r="G660" s="163"/>
      <c r="H660" s="720" t="s">
        <v>536</v>
      </c>
      <c r="I660" s="63"/>
      <c r="J660" s="48" t="s">
        <v>358</v>
      </c>
      <c r="K660" s="222">
        <f>AVERAGE(K657:K659)</f>
        <v>733.12936558332842</v>
      </c>
      <c r="L660" s="61" t="s">
        <v>9</v>
      </c>
      <c r="M660" s="419"/>
      <c r="N660" s="1603"/>
      <c r="P660" s="713"/>
      <c r="Q660" s="712"/>
      <c r="R660" s="714"/>
    </row>
    <row r="661" spans="1:21" s="128" customFormat="1" ht="30" customHeight="1" thickBot="1" x14ac:dyDescent="0.3">
      <c r="A661" s="76"/>
      <c r="B661" s="77"/>
      <c r="C661" s="77"/>
      <c r="D661" s="77"/>
      <c r="E661" s="77"/>
      <c r="F661" s="77"/>
      <c r="G661" s="77"/>
      <c r="H661" s="77"/>
      <c r="I661" s="77"/>
      <c r="J661" s="77"/>
      <c r="K661" s="77"/>
      <c r="L661" s="78"/>
      <c r="M661" s="419"/>
      <c r="N661" s="1603"/>
      <c r="P661" s="713"/>
      <c r="Q661" s="712"/>
      <c r="R661" s="714"/>
    </row>
    <row r="662" spans="1:21" s="128" customFormat="1" ht="30" customHeight="1" x14ac:dyDescent="0.25">
      <c r="A662" s="30" t="s">
        <v>288</v>
      </c>
      <c r="B662" s="31">
        <v>1499</v>
      </c>
      <c r="C662" s="484" t="s">
        <v>810</v>
      </c>
      <c r="D662" s="485"/>
      <c r="E662" s="36" t="s">
        <v>291</v>
      </c>
      <c r="F662" s="37" t="s">
        <v>11</v>
      </c>
      <c r="G662" s="163" t="s">
        <v>290</v>
      </c>
      <c r="H662" s="721">
        <v>1</v>
      </c>
      <c r="I662" s="36" t="s">
        <v>292</v>
      </c>
      <c r="J662" s="38" t="s">
        <v>811</v>
      </c>
      <c r="K662" s="39"/>
      <c r="L662" s="40"/>
      <c r="M662" s="433"/>
      <c r="N662" s="1603"/>
      <c r="P662" s="713"/>
      <c r="Q662" s="712"/>
      <c r="R662" s="714"/>
    </row>
    <row r="663" spans="1:21" s="128" customFormat="1" ht="30" customHeight="1" x14ac:dyDescent="0.25">
      <c r="A663" s="44" t="s">
        <v>812</v>
      </c>
      <c r="B663" s="45" t="s">
        <v>295</v>
      </c>
      <c r="C663" s="45"/>
      <c r="D663" s="45"/>
      <c r="E663" s="44" t="s">
        <v>519</v>
      </c>
      <c r="F663" s="44" t="s">
        <v>561</v>
      </c>
      <c r="G663" s="626" t="s">
        <v>562</v>
      </c>
      <c r="H663" s="627"/>
      <c r="I663" s="286" t="s">
        <v>520</v>
      </c>
      <c r="J663" s="287"/>
      <c r="K663" s="722" t="s">
        <v>521</v>
      </c>
      <c r="L663" s="723"/>
      <c r="M663" s="419"/>
      <c r="N663" s="1603"/>
      <c r="P663" s="713"/>
      <c r="Q663" s="712"/>
      <c r="R663" s="714"/>
    </row>
    <row r="664" spans="1:21" s="128" customFormat="1" ht="30" customHeight="1" x14ac:dyDescent="0.25">
      <c r="A664" s="290">
        <v>62010</v>
      </c>
      <c r="B664" s="214" t="s">
        <v>813</v>
      </c>
      <c r="C664" s="214"/>
      <c r="D664" s="214"/>
      <c r="E664" s="405">
        <v>235</v>
      </c>
      <c r="F664" s="724" t="s">
        <v>9</v>
      </c>
      <c r="G664" s="20">
        <v>230</v>
      </c>
      <c r="H664" s="725" t="s">
        <v>565</v>
      </c>
      <c r="I664" s="726">
        <f>+'MILCON Inflation Table'!F8</f>
        <v>1.2318227593152065</v>
      </c>
      <c r="J664" s="727"/>
      <c r="K664" s="728">
        <f>+E664*G664*I664</f>
        <v>66580.020140986904</v>
      </c>
      <c r="L664" s="20" t="s">
        <v>11</v>
      </c>
      <c r="M664" s="419"/>
      <c r="N664" s="1603"/>
      <c r="P664" s="713"/>
      <c r="Q664" s="712"/>
      <c r="R664" s="714"/>
    </row>
    <row r="665" spans="1:21" s="128" customFormat="1" ht="30" customHeight="1" x14ac:dyDescent="0.25">
      <c r="A665" s="20">
        <v>17971</v>
      </c>
      <c r="B665" s="402" t="s">
        <v>814</v>
      </c>
      <c r="C665" s="403"/>
      <c r="D665" s="404"/>
      <c r="E665" s="405">
        <v>606194</v>
      </c>
      <c r="F665" s="729" t="s">
        <v>11</v>
      </c>
      <c r="G665" s="522"/>
      <c r="H665" s="522"/>
      <c r="I665" s="595">
        <f>+'MILCON Inflation Table'!F17</f>
        <v>0.9432470865927236</v>
      </c>
      <c r="J665" s="596"/>
      <c r="K665" s="728">
        <f>+E665*I665</f>
        <v>571790.72440998955</v>
      </c>
      <c r="L665" s="20" t="s">
        <v>11</v>
      </c>
      <c r="M665" s="419"/>
      <c r="N665" s="1603"/>
      <c r="P665" s="713"/>
      <c r="Q665" s="712"/>
      <c r="R665" s="714"/>
    </row>
    <row r="666" spans="1:21" s="128" customFormat="1" ht="30" customHeight="1" x14ac:dyDescent="0.25">
      <c r="A666" s="61" t="s">
        <v>815</v>
      </c>
      <c r="B666" s="236" t="s">
        <v>816</v>
      </c>
      <c r="C666" s="237"/>
      <c r="D666" s="238"/>
      <c r="E666" s="405">
        <v>34.5</v>
      </c>
      <c r="F666" s="20" t="s">
        <v>576</v>
      </c>
      <c r="G666" s="730">
        <v>130</v>
      </c>
      <c r="H666" s="405" t="s">
        <v>817</v>
      </c>
      <c r="I666" s="731">
        <v>1.04</v>
      </c>
      <c r="J666" s="732"/>
      <c r="K666" s="728">
        <f>+E666*G666*I666</f>
        <v>4664.4000000000005</v>
      </c>
      <c r="L666" s="20" t="s">
        <v>11</v>
      </c>
      <c r="M666" s="419"/>
      <c r="N666" s="1603"/>
      <c r="P666" s="713"/>
      <c r="Q666" s="712"/>
      <c r="R666" s="714"/>
    </row>
    <row r="667" spans="1:21" s="128" customFormat="1" ht="30" customHeight="1" x14ac:dyDescent="0.25">
      <c r="A667" s="65"/>
      <c r="B667" s="646"/>
      <c r="C667" s="646"/>
      <c r="D667" s="646"/>
      <c r="E667" s="63"/>
      <c r="F667" s="65"/>
      <c r="G667" s="650" t="s">
        <v>751</v>
      </c>
      <c r="H667" s="651"/>
      <c r="I667" s="651"/>
      <c r="J667" s="733" t="s">
        <v>818</v>
      </c>
      <c r="K667" s="653">
        <f>((1544/3495)*K664)+((779/3459)*K665)+((1136/3459)*K666)</f>
        <v>159717.95441363991</v>
      </c>
      <c r="L667" s="61" t="s">
        <v>11</v>
      </c>
      <c r="M667" s="419"/>
      <c r="N667" s="1603"/>
      <c r="P667" s="713"/>
      <c r="Q667" s="712"/>
      <c r="R667" s="714"/>
    </row>
    <row r="668" spans="1:21" ht="30" customHeight="1" x14ac:dyDescent="0.25">
      <c r="A668" s="734" t="s">
        <v>819</v>
      </c>
      <c r="B668" s="735"/>
      <c r="C668" s="735"/>
      <c r="D668" s="735"/>
      <c r="E668" s="735"/>
      <c r="F668" s="735"/>
      <c r="G668" s="735"/>
      <c r="H668" s="735"/>
      <c r="I668" s="735"/>
      <c r="J668" s="735"/>
      <c r="K668" s="735"/>
      <c r="L668" s="736"/>
      <c r="P668" s="43"/>
      <c r="Q668" s="43"/>
      <c r="R668" s="43"/>
      <c r="S668" s="60"/>
      <c r="T668" s="60"/>
      <c r="U668" s="43"/>
    </row>
    <row r="669" spans="1:21" s="49" customFormat="1" ht="34.5" customHeight="1" thickBot="1" x14ac:dyDescent="0.3">
      <c r="A669" s="737"/>
      <c r="B669" s="738"/>
      <c r="C669" s="738"/>
      <c r="D669" s="738"/>
      <c r="E669" s="738"/>
      <c r="F669" s="738"/>
      <c r="G669" s="738"/>
      <c r="H669" s="738"/>
      <c r="I669" s="738"/>
      <c r="J669" s="738"/>
      <c r="K669" s="738"/>
      <c r="L669" s="739"/>
      <c r="M669" s="502"/>
      <c r="N669" s="502"/>
      <c r="O669" s="27"/>
      <c r="P669" s="50"/>
      <c r="Q669" s="50"/>
      <c r="R669" s="50"/>
      <c r="S669" s="212"/>
      <c r="T669" s="212"/>
      <c r="U669" s="50"/>
    </row>
    <row r="670" spans="1:21" s="41" customFormat="1" ht="30" customHeight="1" thickBot="1" x14ac:dyDescent="0.3">
      <c r="A670" s="76"/>
      <c r="B670" s="77"/>
      <c r="C670" s="77"/>
      <c r="D670" s="77"/>
      <c r="E670" s="77"/>
      <c r="F670" s="77"/>
      <c r="G670" s="77"/>
      <c r="H670" s="77"/>
      <c r="I670" s="77"/>
      <c r="J670" s="77"/>
      <c r="K670" s="77"/>
      <c r="L670" s="78"/>
      <c r="M670" s="341"/>
      <c r="N670" s="342"/>
      <c r="O670" s="42"/>
    </row>
    <row r="671" spans="1:21" ht="30" customHeight="1" x14ac:dyDescent="0.25">
      <c r="A671" s="30" t="s">
        <v>288</v>
      </c>
      <c r="B671" s="31">
        <v>1511</v>
      </c>
      <c r="C671" s="161" t="s">
        <v>820</v>
      </c>
      <c r="D671" s="162"/>
      <c r="E671" s="36" t="s">
        <v>291</v>
      </c>
      <c r="F671" s="37" t="s">
        <v>3</v>
      </c>
      <c r="G671" s="740" t="s">
        <v>562</v>
      </c>
      <c r="H671" s="741"/>
      <c r="I671" s="36" t="s">
        <v>292</v>
      </c>
      <c r="J671" s="38" t="s">
        <v>26</v>
      </c>
      <c r="K671" s="39"/>
      <c r="L671" s="40"/>
    </row>
    <row r="672" spans="1:21" ht="30" customHeight="1" x14ac:dyDescent="0.25">
      <c r="A672" s="44"/>
      <c r="B672" s="45" t="s">
        <v>295</v>
      </c>
      <c r="C672" s="45"/>
      <c r="D672" s="45"/>
      <c r="E672" s="44" t="s">
        <v>821</v>
      </c>
      <c r="F672" s="44" t="s">
        <v>2</v>
      </c>
      <c r="G672" s="463"/>
      <c r="H672" s="44"/>
      <c r="I672" s="286" t="s">
        <v>520</v>
      </c>
      <c r="J672" s="287"/>
      <c r="K672" s="722" t="s">
        <v>521</v>
      </c>
      <c r="L672" s="723"/>
      <c r="M672" s="43"/>
    </row>
    <row r="673" spans="1:21" ht="30" customHeight="1" x14ac:dyDescent="0.25">
      <c r="A673" s="51"/>
      <c r="B673" s="52" t="s">
        <v>820</v>
      </c>
      <c r="C673" s="52"/>
      <c r="D673" s="52"/>
      <c r="E673" s="98">
        <v>2819.18</v>
      </c>
      <c r="F673" s="51" t="s">
        <v>3</v>
      </c>
      <c r="G673" s="64"/>
      <c r="H673" s="742"/>
      <c r="I673" s="295">
        <f>+'MILCON Inflation Table'!F5</f>
        <v>1.1661740871389072</v>
      </c>
      <c r="J673" s="296"/>
      <c r="K673" s="98">
        <f>+E673*I673</f>
        <v>3287.6546629802642</v>
      </c>
      <c r="L673" s="51" t="s">
        <v>3</v>
      </c>
      <c r="P673" s="43"/>
      <c r="Q673" s="43"/>
      <c r="R673" s="43"/>
      <c r="S673" s="60"/>
      <c r="T673" s="60"/>
      <c r="U673" s="43"/>
    </row>
    <row r="674" spans="1:21" s="49" customFormat="1" ht="30" customHeight="1" x14ac:dyDescent="0.25">
      <c r="A674" s="61"/>
      <c r="B674" s="192"/>
      <c r="C674" s="192"/>
      <c r="D674" s="192"/>
      <c r="E674" s="236" t="s">
        <v>822</v>
      </c>
      <c r="F674" s="237"/>
      <c r="G674" s="237"/>
      <c r="H674" s="238"/>
      <c r="I674" s="63"/>
      <c r="J674" s="48" t="s">
        <v>358</v>
      </c>
      <c r="K674" s="222">
        <f>+K673</f>
        <v>3287.6546629802642</v>
      </c>
      <c r="L674" s="61" t="s">
        <v>3</v>
      </c>
      <c r="M674" s="502"/>
      <c r="N674" s="502"/>
      <c r="O674" s="27"/>
      <c r="P674" s="50"/>
      <c r="Q674" s="50"/>
      <c r="R674" s="50"/>
      <c r="S674" s="212"/>
      <c r="T674" s="212"/>
      <c r="U674" s="50"/>
    </row>
    <row r="675" spans="1:21" s="41" customFormat="1" ht="30" customHeight="1" x14ac:dyDescent="0.25">
      <c r="A675" s="576" t="s">
        <v>823</v>
      </c>
      <c r="B675" s="576"/>
      <c r="C675" s="576"/>
      <c r="D675" s="576"/>
      <c r="E675" s="576"/>
      <c r="F675" s="576"/>
      <c r="G675" s="576"/>
      <c r="H675" s="576"/>
      <c r="I675" s="576"/>
      <c r="J675" s="576"/>
      <c r="K675" s="576"/>
      <c r="L675" s="576"/>
      <c r="M675" s="341"/>
      <c r="N675" s="342"/>
      <c r="O675" s="42"/>
    </row>
    <row r="676" spans="1:21" s="41" customFormat="1" ht="30" customHeight="1" x14ac:dyDescent="0.25">
      <c r="A676" s="576"/>
      <c r="B676" s="576"/>
      <c r="C676" s="576"/>
      <c r="D676" s="576"/>
      <c r="E676" s="576"/>
      <c r="F676" s="576"/>
      <c r="G676" s="576"/>
      <c r="H676" s="576"/>
      <c r="I676" s="576"/>
      <c r="J676" s="576"/>
      <c r="K676" s="576"/>
      <c r="L676" s="576"/>
      <c r="M676" s="341"/>
      <c r="N676" s="342"/>
      <c r="O676" s="42"/>
    </row>
    <row r="677" spans="1:21" s="41" customFormat="1" ht="30" customHeight="1" x14ac:dyDescent="0.25">
      <c r="A677" s="576"/>
      <c r="B677" s="576"/>
      <c r="C677" s="576"/>
      <c r="D677" s="576"/>
      <c r="E677" s="576"/>
      <c r="F677" s="576"/>
      <c r="G677" s="576"/>
      <c r="H677" s="576"/>
      <c r="I677" s="576"/>
      <c r="J677" s="576"/>
      <c r="K677" s="576"/>
      <c r="L677" s="576"/>
      <c r="M677" s="341"/>
      <c r="N677" s="342"/>
      <c r="O677" s="42"/>
    </row>
    <row r="678" spans="1:21" ht="30" customHeight="1" thickBot="1" x14ac:dyDescent="0.3">
      <c r="A678" s="576"/>
      <c r="B678" s="576"/>
      <c r="C678" s="576"/>
      <c r="D678" s="576"/>
      <c r="E678" s="576"/>
      <c r="F678" s="576"/>
      <c r="G678" s="576"/>
      <c r="H678" s="576"/>
      <c r="I678" s="576"/>
      <c r="J678" s="576"/>
      <c r="K678" s="576"/>
      <c r="L678" s="576"/>
    </row>
    <row r="679" spans="1:21" ht="30" customHeight="1" thickBot="1" x14ac:dyDescent="0.3">
      <c r="A679" s="76"/>
      <c r="B679" s="77"/>
      <c r="C679" s="77"/>
      <c r="D679" s="77"/>
      <c r="E679" s="77"/>
      <c r="F679" s="77"/>
      <c r="G679" s="77"/>
      <c r="H679" s="77"/>
      <c r="I679" s="77"/>
      <c r="J679" s="77"/>
      <c r="K679" s="77"/>
      <c r="L679" s="78"/>
      <c r="M679" s="43"/>
    </row>
    <row r="680" spans="1:21" ht="30" customHeight="1" x14ac:dyDescent="0.25">
      <c r="A680" s="30" t="s">
        <v>288</v>
      </c>
      <c r="B680" s="31">
        <v>1512</v>
      </c>
      <c r="C680" s="161" t="s">
        <v>824</v>
      </c>
      <c r="D680" s="162"/>
      <c r="E680" s="36" t="s">
        <v>291</v>
      </c>
      <c r="F680" s="37" t="s">
        <v>3</v>
      </c>
      <c r="G680" s="740" t="s">
        <v>562</v>
      </c>
      <c r="H680" s="741"/>
      <c r="I680" s="36" t="s">
        <v>292</v>
      </c>
      <c r="J680" s="38" t="s">
        <v>26</v>
      </c>
      <c r="K680" s="39"/>
      <c r="L680" s="40"/>
      <c r="M680" s="43"/>
      <c r="N680" s="43"/>
      <c r="O680"/>
    </row>
    <row r="681" spans="1:21" s="49" customFormat="1" ht="30" customHeight="1" x14ac:dyDescent="0.25">
      <c r="A681" s="44"/>
      <c r="B681" s="45" t="s">
        <v>295</v>
      </c>
      <c r="C681" s="45"/>
      <c r="D681" s="45"/>
      <c r="E681" s="44" t="s">
        <v>821</v>
      </c>
      <c r="F681" s="44" t="s">
        <v>2</v>
      </c>
      <c r="G681" s="463"/>
      <c r="H681" s="44"/>
      <c r="I681" s="286" t="s">
        <v>520</v>
      </c>
      <c r="J681" s="287"/>
      <c r="K681" s="722" t="s">
        <v>521</v>
      </c>
      <c r="L681" s="723"/>
      <c r="M681" s="1891"/>
      <c r="N681" s="50"/>
    </row>
    <row r="682" spans="1:21" ht="30" customHeight="1" x14ac:dyDescent="0.25">
      <c r="A682" s="51"/>
      <c r="B682" s="52" t="s">
        <v>824</v>
      </c>
      <c r="C682" s="52"/>
      <c r="D682" s="52"/>
      <c r="E682" s="98">
        <v>2819.18</v>
      </c>
      <c r="F682" s="51" t="s">
        <v>3</v>
      </c>
      <c r="G682" s="64"/>
      <c r="H682" s="742"/>
      <c r="I682" s="295">
        <f>+'MILCON Inflation Table'!F5</f>
        <v>1.1661740871389072</v>
      </c>
      <c r="J682" s="296"/>
      <c r="K682" s="98">
        <f>+E682*I682</f>
        <v>3287.6546629802642</v>
      </c>
      <c r="L682" s="51" t="s">
        <v>3</v>
      </c>
      <c r="M682" s="1424"/>
      <c r="N682" s="43"/>
    </row>
    <row r="683" spans="1:21" ht="30" customHeight="1" x14ac:dyDescent="0.25">
      <c r="A683" s="61"/>
      <c r="B683" s="192"/>
      <c r="C683" s="192"/>
      <c r="D683" s="192"/>
      <c r="E683" s="236" t="s">
        <v>822</v>
      </c>
      <c r="F683" s="237"/>
      <c r="G683" s="237"/>
      <c r="H683" s="238"/>
      <c r="I683" s="63"/>
      <c r="J683" s="48" t="s">
        <v>358</v>
      </c>
      <c r="K683" s="222">
        <f>+K682</f>
        <v>3287.6546629802642</v>
      </c>
      <c r="L683" s="61" t="s">
        <v>3</v>
      </c>
      <c r="M683" s="660"/>
      <c r="N683" s="43"/>
      <c r="O683"/>
    </row>
    <row r="684" spans="1:21" ht="30" customHeight="1" x14ac:dyDescent="0.25">
      <c r="A684" s="576" t="s">
        <v>825</v>
      </c>
      <c r="B684" s="576"/>
      <c r="C684" s="576"/>
      <c r="D684" s="576"/>
      <c r="E684" s="576"/>
      <c r="F684" s="576"/>
      <c r="G684" s="576"/>
      <c r="H684" s="576"/>
      <c r="I684" s="576"/>
      <c r="J684" s="576"/>
      <c r="K684" s="576"/>
      <c r="L684" s="576"/>
      <c r="O684"/>
    </row>
    <row r="685" spans="1:21" ht="30" customHeight="1" x14ac:dyDescent="0.25">
      <c r="A685" s="576"/>
      <c r="B685" s="576"/>
      <c r="C685" s="576"/>
      <c r="D685" s="576"/>
      <c r="E685" s="576"/>
      <c r="F685" s="576"/>
      <c r="G685" s="576"/>
      <c r="H685" s="576"/>
      <c r="I685" s="576"/>
      <c r="J685" s="576"/>
      <c r="K685" s="576"/>
      <c r="L685" s="576"/>
      <c r="O685"/>
    </row>
    <row r="686" spans="1:21" ht="30" customHeight="1" x14ac:dyDescent="0.25">
      <c r="A686" s="576"/>
      <c r="B686" s="576"/>
      <c r="C686" s="576"/>
      <c r="D686" s="576"/>
      <c r="E686" s="576"/>
      <c r="F686" s="576"/>
      <c r="G686" s="576"/>
      <c r="H686" s="576"/>
      <c r="I686" s="576"/>
      <c r="J686" s="576"/>
      <c r="K686" s="576"/>
      <c r="L686" s="576"/>
      <c r="M686" s="1881"/>
      <c r="O686"/>
    </row>
    <row r="687" spans="1:21" ht="30" customHeight="1" thickBot="1" x14ac:dyDescent="0.3">
      <c r="A687" s="576"/>
      <c r="B687" s="576"/>
      <c r="C687" s="576"/>
      <c r="D687" s="576"/>
      <c r="E687" s="576"/>
      <c r="F687" s="576"/>
      <c r="G687" s="576"/>
      <c r="H687" s="576"/>
      <c r="I687" s="576"/>
      <c r="J687" s="576"/>
      <c r="K687" s="576"/>
      <c r="L687" s="576"/>
      <c r="M687" s="1881"/>
      <c r="O687"/>
    </row>
    <row r="688" spans="1:21" ht="30" customHeight="1" thickBot="1" x14ac:dyDescent="0.3">
      <c r="A688" s="76"/>
      <c r="B688" s="77"/>
      <c r="C688" s="77"/>
      <c r="D688" s="77"/>
      <c r="E688" s="77"/>
      <c r="F688" s="77"/>
      <c r="G688" s="77"/>
      <c r="H688" s="77"/>
      <c r="I688" s="77"/>
      <c r="J688" s="77"/>
      <c r="K688" s="77"/>
      <c r="L688" s="78"/>
      <c r="O688"/>
    </row>
    <row r="689" spans="1:15" ht="30" customHeight="1" x14ac:dyDescent="0.25">
      <c r="A689" s="30" t="s">
        <v>288</v>
      </c>
      <c r="B689" s="31">
        <v>1513</v>
      </c>
      <c r="C689" s="161" t="s">
        <v>826</v>
      </c>
      <c r="D689" s="162"/>
      <c r="E689" s="177" t="s">
        <v>291</v>
      </c>
      <c r="F689" s="178" t="s">
        <v>3</v>
      </c>
      <c r="G689" s="123" t="s">
        <v>375</v>
      </c>
      <c r="H689" s="539">
        <v>6952</v>
      </c>
      <c r="I689" s="177" t="s">
        <v>292</v>
      </c>
      <c r="J689" s="488" t="s">
        <v>617</v>
      </c>
      <c r="K689" s="488"/>
      <c r="L689" s="489"/>
      <c r="O689"/>
    </row>
    <row r="690" spans="1:15" s="49" customFormat="1" ht="30" customHeight="1" x14ac:dyDescent="0.25">
      <c r="A690" s="48" t="s">
        <v>529</v>
      </c>
      <c r="B690" s="490" t="s">
        <v>560</v>
      </c>
      <c r="C690" s="491"/>
      <c r="D690" s="492"/>
      <c r="E690" s="397" t="s">
        <v>519</v>
      </c>
      <c r="F690" s="397" t="s">
        <v>561</v>
      </c>
      <c r="G690" s="398" t="s">
        <v>562</v>
      </c>
      <c r="H690" s="399"/>
      <c r="I690" s="400" t="s">
        <v>530</v>
      </c>
      <c r="J690" s="400"/>
      <c r="K690" s="288" t="s">
        <v>521</v>
      </c>
      <c r="L690" s="289"/>
      <c r="M690" s="502"/>
      <c r="N690" s="502"/>
    </row>
    <row r="691" spans="1:15" ht="30" customHeight="1" x14ac:dyDescent="0.25">
      <c r="A691" s="61" t="s">
        <v>531</v>
      </c>
      <c r="B691" s="236" t="s">
        <v>827</v>
      </c>
      <c r="C691" s="237"/>
      <c r="D691" s="238"/>
      <c r="E691" s="405">
        <f>+(80.5+113)/2</f>
        <v>96.75</v>
      </c>
      <c r="F691" s="20" t="s">
        <v>9</v>
      </c>
      <c r="G691" s="406">
        <v>9</v>
      </c>
      <c r="H691" s="407" t="s">
        <v>828</v>
      </c>
      <c r="I691" s="20">
        <v>1.03</v>
      </c>
      <c r="J691" s="20"/>
      <c r="K691" s="405">
        <f>+E691*I691*G691</f>
        <v>896.87250000000006</v>
      </c>
      <c r="L691" s="20" t="s">
        <v>3</v>
      </c>
      <c r="O691"/>
    </row>
    <row r="692" spans="1:15" ht="30" customHeight="1" x14ac:dyDescent="0.25">
      <c r="A692" s="61"/>
      <c r="B692" s="236"/>
      <c r="C692" s="237"/>
      <c r="D692" s="238"/>
      <c r="E692" s="405"/>
      <c r="F692" s="338" t="s">
        <v>533</v>
      </c>
      <c r="G692" s="339" t="s">
        <v>534</v>
      </c>
      <c r="H692" s="339"/>
      <c r="I692" s="339"/>
      <c r="J692" s="339"/>
      <c r="K692" s="340">
        <v>1.07</v>
      </c>
      <c r="L692" s="10"/>
      <c r="O692"/>
    </row>
    <row r="693" spans="1:15" ht="30" customHeight="1" x14ac:dyDescent="0.25">
      <c r="A693" s="61"/>
      <c r="B693" s="498"/>
      <c r="C693" s="498"/>
      <c r="D693" s="498"/>
      <c r="E693" s="405"/>
      <c r="F693" s="343"/>
      <c r="G693" s="344" t="s">
        <v>535</v>
      </c>
      <c r="H693" s="344"/>
      <c r="I693" s="344"/>
      <c r="J693" s="344"/>
      <c r="K693" s="340">
        <v>1.02</v>
      </c>
      <c r="L693" s="10"/>
      <c r="O693"/>
    </row>
    <row r="694" spans="1:15" ht="30" customHeight="1" x14ac:dyDescent="0.25">
      <c r="A694" s="61"/>
      <c r="B694" s="743"/>
      <c r="C694" s="743"/>
      <c r="D694" s="743"/>
      <c r="E694" s="405"/>
      <c r="F694" s="20"/>
      <c r="G694" s="20"/>
      <c r="H694" s="20"/>
      <c r="I694" s="20"/>
      <c r="J694" s="18" t="s">
        <v>358</v>
      </c>
      <c r="K694" s="405">
        <f>+K691*K692/K693</f>
        <v>940.83683823529429</v>
      </c>
      <c r="L694" s="20" t="s">
        <v>3</v>
      </c>
      <c r="O694"/>
    </row>
    <row r="695" spans="1:15" ht="30" customHeight="1" thickBot="1" x14ac:dyDescent="0.3">
      <c r="A695" s="61"/>
      <c r="B695" s="743"/>
      <c r="C695" s="743"/>
      <c r="D695" s="743"/>
      <c r="E695" s="405"/>
      <c r="F695" s="20"/>
      <c r="G695" s="413" t="s">
        <v>537</v>
      </c>
      <c r="H695" s="20"/>
      <c r="I695" s="20"/>
      <c r="J695" s="361">
        <f>VLOOKUP(B689,'Mil Cost Premiums for RUCs'!$A$4:$R$265,18,FALSE)</f>
        <v>1.0905505199999999</v>
      </c>
      <c r="K695" s="405">
        <f>+K694*J695</f>
        <v>1026.030103172656</v>
      </c>
      <c r="L695" s="20" t="s">
        <v>3</v>
      </c>
      <c r="O695"/>
    </row>
    <row r="696" spans="1:15" ht="30" customHeight="1" thickBot="1" x14ac:dyDescent="0.3">
      <c r="A696" s="76"/>
      <c r="B696" s="77"/>
      <c r="C696" s="77"/>
      <c r="D696" s="77"/>
      <c r="E696" s="77"/>
      <c r="F696" s="77"/>
      <c r="G696" s="77"/>
      <c r="H696" s="77"/>
      <c r="I696" s="77"/>
      <c r="J696" s="77"/>
      <c r="K696" s="77"/>
      <c r="L696" s="78"/>
      <c r="O696"/>
    </row>
    <row r="697" spans="1:15" ht="30" customHeight="1" x14ac:dyDescent="0.25">
      <c r="A697" s="30" t="s">
        <v>288</v>
      </c>
      <c r="B697" s="31">
        <v>1531</v>
      </c>
      <c r="C697" s="484" t="s">
        <v>829</v>
      </c>
      <c r="D697" s="485"/>
      <c r="E697" s="36" t="s">
        <v>291</v>
      </c>
      <c r="F697" s="37" t="s">
        <v>3</v>
      </c>
      <c r="G697" s="123" t="s">
        <v>375</v>
      </c>
      <c r="H697" s="302">
        <v>30819</v>
      </c>
      <c r="I697" s="177" t="s">
        <v>292</v>
      </c>
      <c r="J697" s="38" t="s">
        <v>623</v>
      </c>
      <c r="K697" s="39"/>
      <c r="L697" s="40"/>
      <c r="O697"/>
    </row>
    <row r="698" spans="1:15" ht="30" customHeight="1" x14ac:dyDescent="0.25">
      <c r="A698" s="44" t="s">
        <v>517</v>
      </c>
      <c r="B698" s="45" t="s">
        <v>295</v>
      </c>
      <c r="C698" s="45"/>
      <c r="D698" s="45"/>
      <c r="E698" s="715" t="s">
        <v>519</v>
      </c>
      <c r="F698" s="744" t="s">
        <v>2</v>
      </c>
      <c r="G698" s="665" t="s">
        <v>562</v>
      </c>
      <c r="H698" s="666"/>
      <c r="I698" s="286" t="s">
        <v>520</v>
      </c>
      <c r="J698" s="287"/>
      <c r="K698" s="493" t="s">
        <v>521</v>
      </c>
      <c r="L698" s="494"/>
      <c r="O698"/>
    </row>
    <row r="699" spans="1:15" s="49" customFormat="1" ht="30" customHeight="1" x14ac:dyDescent="0.25">
      <c r="A699" s="61">
        <v>93210</v>
      </c>
      <c r="B699" s="716" t="s">
        <v>830</v>
      </c>
      <c r="C699" s="717"/>
      <c r="D699" s="718"/>
      <c r="E699" s="405">
        <v>2.7</v>
      </c>
      <c r="F699" s="65" t="s">
        <v>3</v>
      </c>
      <c r="G699" s="680"/>
      <c r="H699" s="680"/>
      <c r="I699" s="295">
        <f>+'MILCON Inflation Table'!F16</f>
        <v>0.96211202832457809</v>
      </c>
      <c r="J699" s="296"/>
      <c r="K699" s="304">
        <f>+E699*I699</f>
        <v>2.597702476476361</v>
      </c>
      <c r="L699" s="290" t="s">
        <v>3</v>
      </c>
      <c r="M699" s="502"/>
      <c r="N699" s="502"/>
    </row>
    <row r="700" spans="1:15" ht="30" customHeight="1" x14ac:dyDescent="0.25">
      <c r="A700" s="61">
        <v>93210</v>
      </c>
      <c r="B700" s="62" t="s">
        <v>831</v>
      </c>
      <c r="C700" s="62"/>
      <c r="D700" s="62"/>
      <c r="E700" s="405">
        <v>2.2999999999999998</v>
      </c>
      <c r="F700" s="65" t="s">
        <v>3</v>
      </c>
      <c r="G700" s="293"/>
      <c r="H700" s="293"/>
      <c r="I700" s="295">
        <f>+'MILCON Inflation Table'!F16</f>
        <v>0.96211202832457809</v>
      </c>
      <c r="J700" s="296"/>
      <c r="K700" s="304">
        <f>+E700*I700</f>
        <v>2.2128576651465295</v>
      </c>
      <c r="L700" s="290" t="s">
        <v>3</v>
      </c>
      <c r="O700"/>
    </row>
    <row r="701" spans="1:15" ht="30" customHeight="1" x14ac:dyDescent="0.25">
      <c r="A701" s="61">
        <v>85110</v>
      </c>
      <c r="B701" s="498" t="s">
        <v>832</v>
      </c>
      <c r="C701" s="498"/>
      <c r="D701" s="498"/>
      <c r="E701" s="405">
        <v>9.5</v>
      </c>
      <c r="F701" s="65" t="s">
        <v>3</v>
      </c>
      <c r="G701" s="293"/>
      <c r="H701" s="293"/>
      <c r="I701" s="295">
        <f>+'MILCON Inflation Table'!F16</f>
        <v>0.96211202832457809</v>
      </c>
      <c r="J701" s="296"/>
      <c r="K701" s="304">
        <f>+E701*I701</f>
        <v>9.1400642690834921</v>
      </c>
      <c r="L701" s="290" t="s">
        <v>3</v>
      </c>
      <c r="O701"/>
    </row>
    <row r="702" spans="1:15" ht="30" customHeight="1" x14ac:dyDescent="0.25">
      <c r="A702" s="61">
        <v>85110</v>
      </c>
      <c r="B702" s="498" t="s">
        <v>833</v>
      </c>
      <c r="C702" s="512"/>
      <c r="D702" s="513"/>
      <c r="E702" s="405">
        <v>57</v>
      </c>
      <c r="F702" s="65" t="s">
        <v>3</v>
      </c>
      <c r="G702" s="293"/>
      <c r="H702" s="293"/>
      <c r="I702" s="295">
        <f>+'MILCON Inflation Table'!F16</f>
        <v>0.96211202832457809</v>
      </c>
      <c r="J702" s="296"/>
      <c r="K702" s="304">
        <f>+E702*I702</f>
        <v>54.840385614500953</v>
      </c>
      <c r="L702" s="290" t="s">
        <v>3</v>
      </c>
      <c r="O702"/>
    </row>
    <row r="703" spans="1:15" ht="30" customHeight="1" x14ac:dyDescent="0.25">
      <c r="A703" s="61"/>
      <c r="B703" s="511"/>
      <c r="C703" s="512"/>
      <c r="D703" s="512"/>
      <c r="E703" s="745"/>
      <c r="F703" s="746"/>
      <c r="G703" s="516"/>
      <c r="H703" s="684"/>
      <c r="I703" s="687"/>
      <c r="J703" s="687" t="s">
        <v>646</v>
      </c>
      <c r="K703" s="304">
        <f>SUM(K699:K702)</f>
        <v>68.791010025207328</v>
      </c>
      <c r="L703" s="290" t="s">
        <v>3</v>
      </c>
      <c r="O703"/>
    </row>
    <row r="704" spans="1:15" ht="30" customHeight="1" thickBot="1" x14ac:dyDescent="0.3">
      <c r="A704" s="61"/>
      <c r="B704" s="217" t="s">
        <v>834</v>
      </c>
      <c r="C704" s="218"/>
      <c r="D704" s="218"/>
      <c r="E704" s="218"/>
      <c r="F704" s="218"/>
      <c r="G704" s="218"/>
      <c r="H704" s="219"/>
      <c r="I704" s="63"/>
      <c r="J704" s="48" t="s">
        <v>358</v>
      </c>
      <c r="K704" s="222">
        <f>+K703</f>
        <v>68.791010025207328</v>
      </c>
      <c r="L704" s="65" t="s">
        <v>3</v>
      </c>
      <c r="O704"/>
    </row>
    <row r="705" spans="1:21" ht="30" customHeight="1" thickBot="1" x14ac:dyDescent="0.3">
      <c r="A705" s="76"/>
      <c r="B705" s="77"/>
      <c r="C705" s="77"/>
      <c r="D705" s="77"/>
      <c r="E705" s="77"/>
      <c r="F705" s="77"/>
      <c r="G705" s="77"/>
      <c r="H705" s="77"/>
      <c r="I705" s="77"/>
      <c r="J705" s="77"/>
      <c r="K705" s="77"/>
      <c r="L705" s="78"/>
      <c r="M705" s="419"/>
      <c r="N705" s="420"/>
      <c r="O705"/>
      <c r="P705" s="412"/>
      <c r="Q705" s="391"/>
      <c r="R705" s="393"/>
    </row>
    <row r="706" spans="1:21" ht="30" customHeight="1" x14ac:dyDescent="0.25">
      <c r="A706" s="30" t="s">
        <v>288</v>
      </c>
      <c r="B706" s="208">
        <v>1541</v>
      </c>
      <c r="C706" s="209" t="s">
        <v>835</v>
      </c>
      <c r="D706" s="210"/>
      <c r="E706" s="177" t="s">
        <v>291</v>
      </c>
      <c r="F706" s="178" t="s">
        <v>7</v>
      </c>
      <c r="G706" s="123" t="s">
        <v>375</v>
      </c>
      <c r="H706" s="539">
        <v>2738</v>
      </c>
      <c r="I706" s="177" t="s">
        <v>292</v>
      </c>
      <c r="J706" s="747" t="s">
        <v>641</v>
      </c>
      <c r="K706" s="747"/>
      <c r="L706" s="748"/>
      <c r="M706" s="419"/>
      <c r="N706" s="420"/>
      <c r="O706"/>
      <c r="P706" s="412"/>
      <c r="Q706" s="391"/>
      <c r="R706" s="393"/>
    </row>
    <row r="707" spans="1:21" ht="30" customHeight="1" x14ac:dyDescent="0.25">
      <c r="A707" s="48" t="s">
        <v>529</v>
      </c>
      <c r="B707" s="394" t="s">
        <v>560</v>
      </c>
      <c r="C707" s="395"/>
      <c r="D707" s="396"/>
      <c r="E707" s="397" t="s">
        <v>519</v>
      </c>
      <c r="F707" s="397" t="s">
        <v>561</v>
      </c>
      <c r="G707" s="398" t="s">
        <v>562</v>
      </c>
      <c r="H707" s="399"/>
      <c r="I707" s="400" t="s">
        <v>530</v>
      </c>
      <c r="J707" s="400"/>
      <c r="K707" s="288" t="s">
        <v>521</v>
      </c>
      <c r="L707" s="289"/>
      <c r="M707" s="419"/>
      <c r="N707" s="420"/>
      <c r="O707"/>
      <c r="P707" s="412"/>
      <c r="Q707" s="391"/>
      <c r="R707" s="393"/>
    </row>
    <row r="708" spans="1:21" s="49" customFormat="1" ht="30" customHeight="1" x14ac:dyDescent="0.25">
      <c r="A708" s="61" t="s">
        <v>836</v>
      </c>
      <c r="B708" s="402" t="s">
        <v>837</v>
      </c>
      <c r="C708" s="403"/>
      <c r="D708" s="404"/>
      <c r="E708" s="405">
        <f>+(530+870)/2</f>
        <v>700</v>
      </c>
      <c r="F708" s="20" t="s">
        <v>7</v>
      </c>
      <c r="G708" s="749">
        <v>0.5</v>
      </c>
      <c r="H708" s="750" t="s">
        <v>838</v>
      </c>
      <c r="I708" s="20">
        <v>1.05</v>
      </c>
      <c r="J708" s="751"/>
      <c r="K708" s="405">
        <f>+E708*I708*G708</f>
        <v>367.5</v>
      </c>
      <c r="L708" s="20" t="s">
        <v>7</v>
      </c>
      <c r="M708" s="425"/>
      <c r="N708" s="420"/>
      <c r="P708" s="412"/>
      <c r="Q708" s="391"/>
      <c r="R708" s="393"/>
    </row>
    <row r="709" spans="1:21" ht="30" customHeight="1" x14ac:dyDescent="0.25">
      <c r="A709" s="61"/>
      <c r="B709" s="410"/>
      <c r="C709" s="410"/>
      <c r="D709" s="410"/>
      <c r="E709" s="405"/>
      <c r="F709" s="338" t="s">
        <v>533</v>
      </c>
      <c r="G709" s="339" t="s">
        <v>534</v>
      </c>
      <c r="H709" s="339"/>
      <c r="I709" s="339"/>
      <c r="J709" s="339"/>
      <c r="K709" s="340">
        <v>1.07</v>
      </c>
      <c r="L709" s="10"/>
      <c r="M709" s="419"/>
      <c r="N709" s="420"/>
      <c r="O709"/>
      <c r="P709" s="412"/>
      <c r="Q709" s="391"/>
      <c r="R709" s="393"/>
    </row>
    <row r="710" spans="1:21" ht="30" customHeight="1" x14ac:dyDescent="0.25">
      <c r="A710" s="61"/>
      <c r="B710" s="410"/>
      <c r="C710" s="410"/>
      <c r="D710" s="410"/>
      <c r="E710" s="405"/>
      <c r="F710" s="343"/>
      <c r="G710" s="344" t="s">
        <v>535</v>
      </c>
      <c r="H710" s="344"/>
      <c r="I710" s="344"/>
      <c r="J710" s="344"/>
      <c r="K710" s="340">
        <v>1.02</v>
      </c>
      <c r="L710" s="10"/>
      <c r="M710" s="670"/>
      <c r="N710" s="671"/>
      <c r="O710" s="43"/>
      <c r="P710" s="672"/>
      <c r="Q710" s="671"/>
      <c r="R710" s="673"/>
    </row>
    <row r="711" spans="1:21" ht="30" customHeight="1" x14ac:dyDescent="0.25">
      <c r="A711" s="61"/>
      <c r="B711" s="20"/>
      <c r="C711" s="18"/>
      <c r="D711" s="18"/>
      <c r="E711" s="18"/>
      <c r="F711" s="18"/>
      <c r="G711" s="18"/>
      <c r="H711" s="18"/>
      <c r="I711" s="18"/>
      <c r="J711" s="18" t="s">
        <v>358</v>
      </c>
      <c r="K711" s="23">
        <f>+K708*K709/K710</f>
        <v>385.51470588235298</v>
      </c>
      <c r="L711" s="20" t="s">
        <v>7</v>
      </c>
      <c r="M711" s="670"/>
      <c r="N711" s="671"/>
      <c r="O711" s="43"/>
      <c r="P711" s="672"/>
      <c r="Q711" s="671"/>
      <c r="R711" s="673"/>
    </row>
    <row r="712" spans="1:21" ht="30" customHeight="1" thickBot="1" x14ac:dyDescent="0.3">
      <c r="A712" s="61"/>
      <c r="B712" s="20"/>
      <c r="C712" s="18"/>
      <c r="D712" s="18"/>
      <c r="E712" s="18"/>
      <c r="F712" s="18"/>
      <c r="G712" s="413" t="s">
        <v>537</v>
      </c>
      <c r="H712" s="18"/>
      <c r="I712" s="18"/>
      <c r="J712" s="361">
        <f>VLOOKUP(B706,'Mil Cost Premiums for RUCs'!$A$4:$R$265,18,FALSE)</f>
        <v>1.0209999999999999</v>
      </c>
      <c r="K712" s="23">
        <f>+K711*J712</f>
        <v>393.61051470588234</v>
      </c>
      <c r="L712" s="20" t="s">
        <v>7</v>
      </c>
      <c r="M712" s="419"/>
      <c r="N712" s="420"/>
      <c r="O712"/>
      <c r="P712" s="412"/>
      <c r="Q712" s="391"/>
      <c r="R712" s="393"/>
    </row>
    <row r="713" spans="1:21" ht="30" customHeight="1" thickBot="1" x14ac:dyDescent="0.3">
      <c r="A713" s="76"/>
      <c r="B713" s="77"/>
      <c r="C713" s="77"/>
      <c r="D713" s="77"/>
      <c r="E713" s="77"/>
      <c r="F713" s="77"/>
      <c r="G713" s="77"/>
      <c r="H713" s="77"/>
      <c r="I713" s="77"/>
      <c r="J713" s="77"/>
      <c r="K713" s="77"/>
      <c r="L713" s="78"/>
      <c r="P713" s="43"/>
      <c r="Q713" s="43"/>
      <c r="R713" s="43"/>
      <c r="S713" s="60"/>
      <c r="T713" s="60"/>
      <c r="U713" s="43"/>
    </row>
    <row r="714" spans="1:21" ht="30" customHeight="1" x14ac:dyDescent="0.25">
      <c r="A714" s="30" t="s">
        <v>288</v>
      </c>
      <c r="B714" s="208">
        <v>1551</v>
      </c>
      <c r="C714" s="209" t="s">
        <v>839</v>
      </c>
      <c r="D714" s="210"/>
      <c r="E714" s="177" t="s">
        <v>291</v>
      </c>
      <c r="F714" s="178" t="s">
        <v>30</v>
      </c>
      <c r="G714" s="123" t="s">
        <v>375</v>
      </c>
      <c r="H714" s="388">
        <v>305</v>
      </c>
      <c r="I714" s="177" t="s">
        <v>292</v>
      </c>
      <c r="J714" s="747" t="s">
        <v>641</v>
      </c>
      <c r="K714" s="747"/>
      <c r="L714" s="748"/>
      <c r="P714" s="43"/>
      <c r="Q714" s="43"/>
      <c r="R714" s="43"/>
      <c r="S714" s="60"/>
      <c r="T714" s="60"/>
      <c r="U714" s="43"/>
    </row>
    <row r="715" spans="1:21" s="41" customFormat="1" ht="30" customHeight="1" x14ac:dyDescent="0.25">
      <c r="A715" s="48" t="s">
        <v>529</v>
      </c>
      <c r="B715" s="394" t="s">
        <v>560</v>
      </c>
      <c r="C715" s="395"/>
      <c r="D715" s="396"/>
      <c r="E715" s="397" t="s">
        <v>519</v>
      </c>
      <c r="F715" s="397" t="s">
        <v>561</v>
      </c>
      <c r="G715" s="398" t="s">
        <v>562</v>
      </c>
      <c r="H715" s="399"/>
      <c r="I715" s="400" t="s">
        <v>530</v>
      </c>
      <c r="J715" s="400"/>
      <c r="K715" s="288" t="s">
        <v>521</v>
      </c>
      <c r="L715" s="289"/>
      <c r="M715" s="341"/>
      <c r="N715" s="342"/>
      <c r="O715" s="42"/>
    </row>
    <row r="716" spans="1:21" s="49" customFormat="1" ht="30" customHeight="1" x14ac:dyDescent="0.25">
      <c r="A716" s="61" t="s">
        <v>531</v>
      </c>
      <c r="B716" s="402" t="s">
        <v>840</v>
      </c>
      <c r="C716" s="403"/>
      <c r="D716" s="404"/>
      <c r="E716" s="405">
        <f>+(50.5+75)/2</f>
        <v>62.75</v>
      </c>
      <c r="F716" s="20" t="s">
        <v>9</v>
      </c>
      <c r="G716" s="752">
        <v>30</v>
      </c>
      <c r="H716" s="750" t="s">
        <v>841</v>
      </c>
      <c r="I716" s="751">
        <v>1.03</v>
      </c>
      <c r="J716" s="20"/>
      <c r="K716" s="405">
        <f>+E716*G716*I716</f>
        <v>1938.9750000000001</v>
      </c>
      <c r="L716" s="20" t="s">
        <v>30</v>
      </c>
      <c r="M716" s="502"/>
      <c r="N716" s="1894"/>
      <c r="O716" s="27"/>
    </row>
    <row r="717" spans="1:21" s="41" customFormat="1" ht="30" customHeight="1" x14ac:dyDescent="0.25">
      <c r="A717" s="61"/>
      <c r="B717" s="191" t="s">
        <v>842</v>
      </c>
      <c r="C717" s="191"/>
      <c r="D717" s="191"/>
      <c r="E717" s="405"/>
      <c r="F717" s="20"/>
      <c r="G717" s="753"/>
      <c r="H717" s="754"/>
      <c r="I717" s="20"/>
      <c r="J717" s="20"/>
      <c r="K717" s="405"/>
      <c r="L717" s="20"/>
      <c r="M717" s="341"/>
      <c r="N717" s="342"/>
      <c r="O717" s="42"/>
    </row>
    <row r="718" spans="1:21" s="41" customFormat="1" ht="30" customHeight="1" x14ac:dyDescent="0.25">
      <c r="A718" s="61"/>
      <c r="B718" s="410"/>
      <c r="C718" s="410"/>
      <c r="D718" s="755" t="s">
        <v>843</v>
      </c>
      <c r="E718" s="405"/>
      <c r="F718" s="338" t="s">
        <v>533</v>
      </c>
      <c r="G718" s="339" t="s">
        <v>534</v>
      </c>
      <c r="H718" s="339"/>
      <c r="I718" s="339"/>
      <c r="J718" s="339"/>
      <c r="K718" s="340">
        <v>1.07</v>
      </c>
      <c r="L718" s="10"/>
      <c r="M718" s="341"/>
      <c r="N718" s="342"/>
      <c r="O718" s="42"/>
    </row>
    <row r="719" spans="1:21" s="41" customFormat="1" ht="30" customHeight="1" x14ac:dyDescent="0.25">
      <c r="A719" s="61"/>
      <c r="B719" s="410"/>
      <c r="C719" s="410"/>
      <c r="D719" s="410"/>
      <c r="E719" s="405"/>
      <c r="F719" s="343"/>
      <c r="G719" s="344" t="s">
        <v>535</v>
      </c>
      <c r="H719" s="344"/>
      <c r="I719" s="344"/>
      <c r="J719" s="344"/>
      <c r="K719" s="340">
        <v>1.02</v>
      </c>
      <c r="L719" s="10"/>
      <c r="M719" s="341"/>
      <c r="N719" s="342"/>
      <c r="O719" s="42"/>
    </row>
    <row r="720" spans="1:21" ht="30" customHeight="1" x14ac:dyDescent="0.25">
      <c r="A720" s="61"/>
      <c r="B720" s="20"/>
      <c r="C720" s="18"/>
      <c r="D720" s="18"/>
      <c r="E720" s="18"/>
      <c r="F720" s="18"/>
      <c r="G720" s="18"/>
      <c r="H720" s="18"/>
      <c r="I720" s="18"/>
      <c r="J720" s="18" t="s">
        <v>358</v>
      </c>
      <c r="K720" s="23">
        <f>+K716*K718/K719</f>
        <v>2034.0227941176474</v>
      </c>
      <c r="L720" s="20" t="s">
        <v>30</v>
      </c>
    </row>
    <row r="721" spans="1:18" ht="30" customHeight="1" thickBot="1" x14ac:dyDescent="0.3">
      <c r="A721" s="61"/>
      <c r="B721" s="20"/>
      <c r="C721" s="18"/>
      <c r="E721" s="18"/>
      <c r="F721" s="18"/>
      <c r="G721" s="413" t="s">
        <v>537</v>
      </c>
      <c r="H721" s="18"/>
      <c r="I721" s="18"/>
      <c r="J721" s="361">
        <f>VLOOKUP(B714,'Mil Cost Premiums for RUCs'!$A$4:$R$265,18,FALSE)</f>
        <v>1.0905505199999999</v>
      </c>
      <c r="K721" s="23">
        <f>+K720*J721</f>
        <v>2218.2046158168532</v>
      </c>
      <c r="L721" s="20" t="s">
        <v>30</v>
      </c>
      <c r="M721" s="43"/>
    </row>
    <row r="722" spans="1:18" ht="30" customHeight="1" thickBot="1" x14ac:dyDescent="0.3">
      <c r="A722" s="76"/>
      <c r="B722" s="77"/>
      <c r="C722" s="77"/>
      <c r="D722" s="77"/>
      <c r="E722" s="77"/>
      <c r="F722" s="77"/>
      <c r="G722" s="77"/>
      <c r="H722" s="77"/>
      <c r="I722" s="77"/>
      <c r="J722" s="77"/>
      <c r="K722" s="77"/>
      <c r="L722" s="78"/>
      <c r="M722" s="419"/>
      <c r="N722" s="420"/>
      <c r="O722"/>
      <c r="P722" s="412"/>
      <c r="Q722" s="391"/>
      <c r="R722" s="393"/>
    </row>
    <row r="723" spans="1:18" ht="30" customHeight="1" x14ac:dyDescent="0.25">
      <c r="A723" s="30" t="s">
        <v>288</v>
      </c>
      <c r="B723" s="208">
        <v>1552</v>
      </c>
      <c r="C723" s="209" t="s">
        <v>844</v>
      </c>
      <c r="D723" s="210"/>
      <c r="E723" s="177" t="s">
        <v>291</v>
      </c>
      <c r="F723" s="178" t="s">
        <v>9</v>
      </c>
      <c r="G723" s="123" t="s">
        <v>375</v>
      </c>
      <c r="H723" s="539">
        <v>5199</v>
      </c>
      <c r="I723" s="177" t="s">
        <v>292</v>
      </c>
      <c r="J723" s="747" t="s">
        <v>641</v>
      </c>
      <c r="K723" s="747"/>
      <c r="L723" s="748"/>
      <c r="M723" s="419"/>
      <c r="N723" s="420"/>
      <c r="O723"/>
      <c r="P723" s="412"/>
      <c r="Q723" s="391"/>
      <c r="R723" s="393"/>
    </row>
    <row r="724" spans="1:18" ht="30" customHeight="1" x14ac:dyDescent="0.25">
      <c r="A724" s="48" t="s">
        <v>529</v>
      </c>
      <c r="B724" s="394" t="s">
        <v>560</v>
      </c>
      <c r="C724" s="395"/>
      <c r="D724" s="396"/>
      <c r="E724" s="397" t="s">
        <v>519</v>
      </c>
      <c r="F724" s="397" t="s">
        <v>561</v>
      </c>
      <c r="G724" s="398" t="s">
        <v>562</v>
      </c>
      <c r="H724" s="399"/>
      <c r="I724" s="400" t="s">
        <v>530</v>
      </c>
      <c r="J724" s="400"/>
      <c r="K724" s="288" t="s">
        <v>521</v>
      </c>
      <c r="L724" s="289"/>
      <c r="M724" s="419"/>
      <c r="N724" s="420"/>
      <c r="O724"/>
      <c r="P724" s="412"/>
      <c r="Q724" s="391"/>
      <c r="R724" s="393"/>
    </row>
    <row r="725" spans="1:18" s="49" customFormat="1" ht="30" customHeight="1" x14ac:dyDescent="0.25">
      <c r="A725" s="61" t="s">
        <v>845</v>
      </c>
      <c r="B725" s="402" t="s">
        <v>846</v>
      </c>
      <c r="C725" s="403"/>
      <c r="D725" s="404"/>
      <c r="E725" s="405">
        <v>29.39</v>
      </c>
      <c r="F725" s="20" t="s">
        <v>9</v>
      </c>
      <c r="G725" s="752"/>
      <c r="H725" s="750"/>
      <c r="I725" s="20">
        <v>1.03</v>
      </c>
      <c r="J725" s="20"/>
      <c r="K725" s="405">
        <f>+E725*I725</f>
        <v>30.271700000000003</v>
      </c>
      <c r="L725" s="20" t="s">
        <v>9</v>
      </c>
      <c r="M725" s="425"/>
      <c r="N725" s="420"/>
      <c r="P725" s="412"/>
      <c r="Q725" s="391"/>
      <c r="R725" s="393"/>
    </row>
    <row r="726" spans="1:18" ht="30" customHeight="1" x14ac:dyDescent="0.25">
      <c r="A726" s="61"/>
      <c r="B726" s="410"/>
      <c r="C726" s="410"/>
      <c r="D726" s="410"/>
      <c r="E726" s="405"/>
      <c r="F726" s="338" t="s">
        <v>533</v>
      </c>
      <c r="G726" s="339" t="s">
        <v>534</v>
      </c>
      <c r="H726" s="339"/>
      <c r="I726" s="339"/>
      <c r="J726" s="339"/>
      <c r="K726" s="340">
        <v>1.05</v>
      </c>
      <c r="L726" s="10"/>
      <c r="M726" s="419"/>
      <c r="N726" s="420"/>
      <c r="O726"/>
      <c r="P726" s="412"/>
      <c r="Q726" s="391"/>
      <c r="R726" s="393"/>
    </row>
    <row r="727" spans="1:18" ht="30" customHeight="1" x14ac:dyDescent="0.25">
      <c r="A727" s="61"/>
      <c r="B727" s="410"/>
      <c r="C727" s="410"/>
      <c r="D727" s="410"/>
      <c r="E727" s="405"/>
      <c r="F727" s="343"/>
      <c r="G727" s="344" t="s">
        <v>535</v>
      </c>
      <c r="H727" s="344"/>
      <c r="I727" s="344"/>
      <c r="J727" s="344"/>
      <c r="K727" s="340">
        <v>1.02</v>
      </c>
      <c r="L727" s="10"/>
      <c r="M727" s="670"/>
      <c r="N727" s="671"/>
      <c r="O727" s="43"/>
      <c r="P727" s="672"/>
      <c r="Q727" s="671"/>
      <c r="R727" s="673"/>
    </row>
    <row r="728" spans="1:18" ht="30" customHeight="1" x14ac:dyDescent="0.25">
      <c r="A728" s="61"/>
      <c r="B728" s="20"/>
      <c r="C728" s="18"/>
      <c r="D728" s="18"/>
      <c r="E728" s="18"/>
      <c r="F728" s="18"/>
      <c r="G728" s="18"/>
      <c r="H728" s="18"/>
      <c r="I728" s="18"/>
      <c r="J728" s="18" t="s">
        <v>358</v>
      </c>
      <c r="K728" s="23">
        <f>+K725*K726/K727</f>
        <v>31.162044117647064</v>
      </c>
      <c r="L728" s="20" t="s">
        <v>9</v>
      </c>
      <c r="M728" s="670"/>
      <c r="N728" s="671"/>
      <c r="O728" s="43"/>
      <c r="P728" s="672"/>
      <c r="Q728" s="671"/>
      <c r="R728" s="673"/>
    </row>
    <row r="729" spans="1:18" ht="30" customHeight="1" thickBot="1" x14ac:dyDescent="0.3">
      <c r="A729" s="61"/>
      <c r="B729" s="20"/>
      <c r="C729" s="18"/>
      <c r="D729" s="18"/>
      <c r="E729" s="18"/>
      <c r="F729" s="18"/>
      <c r="G729" s="413" t="s">
        <v>537</v>
      </c>
      <c r="H729" s="18"/>
      <c r="I729" s="18"/>
      <c r="J729" s="361">
        <f>VLOOKUP(B723,'Mil Cost Premiums for RUCs'!$A$4:$R$265,18,FALSE)</f>
        <v>1.1223763993485734</v>
      </c>
      <c r="K729" s="23">
        <f>+K728*J729</f>
        <v>34.9755428731061</v>
      </c>
      <c r="L729" s="20" t="s">
        <v>9</v>
      </c>
      <c r="M729" s="419"/>
      <c r="N729" s="420"/>
      <c r="O729"/>
      <c r="P729" s="412"/>
      <c r="Q729" s="391"/>
      <c r="R729" s="393"/>
    </row>
    <row r="730" spans="1:18" ht="30" customHeight="1" thickBot="1" x14ac:dyDescent="0.3">
      <c r="A730" s="76"/>
      <c r="B730" s="77"/>
      <c r="C730" s="77"/>
      <c r="D730" s="77"/>
      <c r="E730" s="77"/>
      <c r="F730" s="77"/>
      <c r="G730" s="77"/>
      <c r="H730" s="77"/>
      <c r="I730" s="77"/>
      <c r="J730" s="77"/>
      <c r="K730" s="77"/>
      <c r="L730" s="78"/>
      <c r="M730" s="419"/>
      <c r="N730" s="420"/>
      <c r="O730"/>
      <c r="P730" s="412"/>
      <c r="Q730" s="391"/>
      <c r="R730" s="393"/>
    </row>
    <row r="731" spans="1:18" ht="30" customHeight="1" x14ac:dyDescent="0.25">
      <c r="A731" s="30" t="s">
        <v>288</v>
      </c>
      <c r="B731" s="208">
        <v>1591</v>
      </c>
      <c r="C731" s="209" t="s">
        <v>847</v>
      </c>
      <c r="D731" s="210"/>
      <c r="E731" s="177" t="s">
        <v>291</v>
      </c>
      <c r="F731" s="178" t="s">
        <v>11</v>
      </c>
      <c r="G731" s="465" t="s">
        <v>290</v>
      </c>
      <c r="H731" s="179">
        <v>2500</v>
      </c>
      <c r="I731" s="177" t="s">
        <v>292</v>
      </c>
      <c r="J731" s="747" t="s">
        <v>641</v>
      </c>
      <c r="K731" s="747"/>
      <c r="L731" s="748"/>
      <c r="M731" s="419"/>
      <c r="N731" s="420"/>
      <c r="O731"/>
      <c r="P731" s="412"/>
      <c r="Q731" s="391"/>
      <c r="R731" s="393"/>
    </row>
    <row r="732" spans="1:18" ht="30" customHeight="1" x14ac:dyDescent="0.25">
      <c r="A732" s="48" t="s">
        <v>529</v>
      </c>
      <c r="B732" s="394" t="s">
        <v>560</v>
      </c>
      <c r="C732" s="395"/>
      <c r="D732" s="396"/>
      <c r="E732" s="397" t="s">
        <v>519</v>
      </c>
      <c r="F732" s="397" t="s">
        <v>561</v>
      </c>
      <c r="G732" s="398" t="s">
        <v>562</v>
      </c>
      <c r="H732" s="399"/>
      <c r="I732" s="181" t="s">
        <v>530</v>
      </c>
      <c r="J732" s="181"/>
      <c r="K732" s="288" t="s">
        <v>521</v>
      </c>
      <c r="L732" s="289"/>
      <c r="M732" s="419"/>
      <c r="N732" s="420"/>
      <c r="O732"/>
      <c r="P732" s="412"/>
      <c r="Q732" s="391"/>
      <c r="R732" s="393"/>
    </row>
    <row r="733" spans="1:18" s="49" customFormat="1" ht="30" customHeight="1" x14ac:dyDescent="0.25">
      <c r="A733" s="61" t="s">
        <v>574</v>
      </c>
      <c r="B733" s="503" t="s">
        <v>848</v>
      </c>
      <c r="C733" s="504"/>
      <c r="D733" s="505"/>
      <c r="E733" s="756">
        <v>0.56999999999999995</v>
      </c>
      <c r="F733" s="22" t="s">
        <v>9</v>
      </c>
      <c r="G733" s="757">
        <f>+H731</f>
        <v>2500</v>
      </c>
      <c r="H733" s="758" t="s">
        <v>565</v>
      </c>
      <c r="I733" s="759">
        <v>1.04</v>
      </c>
      <c r="J733" s="20"/>
      <c r="K733" s="756">
        <f>+E733*G733*I733</f>
        <v>1481.9999999999998</v>
      </c>
      <c r="L733" s="22" t="s">
        <v>11</v>
      </c>
      <c r="M733" s="425"/>
      <c r="N733" s="420"/>
      <c r="P733" s="412"/>
      <c r="Q733" s="391"/>
      <c r="R733" s="393"/>
    </row>
    <row r="734" spans="1:18" ht="30" customHeight="1" x14ac:dyDescent="0.25">
      <c r="A734" s="61" t="s">
        <v>849</v>
      </c>
      <c r="B734" s="503" t="s">
        <v>850</v>
      </c>
      <c r="C734" s="504"/>
      <c r="D734" s="505"/>
      <c r="E734" s="760">
        <f>((4.41+6.58)/2)+(4*(0.4+0.58)/2)+((0.46+2.32)/2)</f>
        <v>8.8450000000000006</v>
      </c>
      <c r="F734" s="22" t="s">
        <v>9</v>
      </c>
      <c r="G734" s="757">
        <f>+H731</f>
        <v>2500</v>
      </c>
      <c r="H734" s="758" t="s">
        <v>565</v>
      </c>
      <c r="I734" s="759">
        <v>1.04</v>
      </c>
      <c r="J734" s="20"/>
      <c r="K734" s="756">
        <f>+E734*G734*I734</f>
        <v>22997</v>
      </c>
      <c r="L734" s="22" t="s">
        <v>11</v>
      </c>
      <c r="M734" s="419"/>
      <c r="N734" s="420"/>
      <c r="O734"/>
      <c r="P734" s="412"/>
      <c r="Q734" s="391"/>
      <c r="R734" s="393"/>
    </row>
    <row r="735" spans="1:18" ht="30" customHeight="1" x14ac:dyDescent="0.25">
      <c r="A735" s="61" t="s">
        <v>531</v>
      </c>
      <c r="B735" s="402" t="s">
        <v>851</v>
      </c>
      <c r="C735" s="403"/>
      <c r="D735" s="404"/>
      <c r="E735" s="405">
        <f>(50.5+75)/2</f>
        <v>62.75</v>
      </c>
      <c r="F735" s="20" t="s">
        <v>9</v>
      </c>
      <c r="G735" s="752">
        <v>500</v>
      </c>
      <c r="H735" s="609" t="s">
        <v>565</v>
      </c>
      <c r="I735" s="751">
        <v>1.03</v>
      </c>
      <c r="J735" s="20"/>
      <c r="K735" s="756">
        <f>+E735*G735*I735</f>
        <v>32316.25</v>
      </c>
      <c r="L735" s="22" t="s">
        <v>11</v>
      </c>
      <c r="M735" s="419"/>
      <c r="N735" s="420"/>
      <c r="O735"/>
      <c r="P735" s="412"/>
      <c r="Q735" s="391"/>
      <c r="R735" s="393"/>
    </row>
    <row r="736" spans="1:18" ht="30" customHeight="1" x14ac:dyDescent="0.25">
      <c r="A736" s="63"/>
      <c r="B736" s="186" t="s">
        <v>852</v>
      </c>
      <c r="C736" s="186"/>
      <c r="D736" s="186"/>
      <c r="E736" s="405"/>
      <c r="F736" s="20"/>
      <c r="G736" s="20"/>
      <c r="H736" s="20"/>
      <c r="I736" s="20"/>
      <c r="J736" s="20" t="s">
        <v>646</v>
      </c>
      <c r="K736" s="529">
        <f>SUM(K733:K735)</f>
        <v>56795.25</v>
      </c>
      <c r="L736" s="20" t="s">
        <v>11</v>
      </c>
      <c r="M736" s="670"/>
      <c r="N736" s="671"/>
      <c r="O736" s="43"/>
      <c r="P736" s="672"/>
      <c r="Q736" s="671"/>
      <c r="R736" s="673"/>
    </row>
    <row r="737" spans="1:18" ht="30" customHeight="1" x14ac:dyDescent="0.25">
      <c r="A737" s="61"/>
      <c r="B737" s="410"/>
      <c r="C737" s="410"/>
      <c r="D737" s="410"/>
      <c r="E737" s="405"/>
      <c r="F737" s="338" t="s">
        <v>533</v>
      </c>
      <c r="G737" s="339" t="s">
        <v>534</v>
      </c>
      <c r="H737" s="339"/>
      <c r="I737" s="339"/>
      <c r="J737" s="339"/>
      <c r="K737" s="340">
        <v>1.07</v>
      </c>
      <c r="L737" s="10"/>
      <c r="M737" s="670"/>
      <c r="N737" s="671"/>
      <c r="O737" s="43"/>
      <c r="P737" s="672"/>
      <c r="Q737" s="671"/>
      <c r="R737" s="673"/>
    </row>
    <row r="738" spans="1:18" ht="30" customHeight="1" x14ac:dyDescent="0.25">
      <c r="A738" s="61"/>
      <c r="B738" s="410"/>
      <c r="C738" s="410"/>
      <c r="D738" s="410"/>
      <c r="E738" s="405"/>
      <c r="F738" s="343"/>
      <c r="G738" s="344" t="s">
        <v>535</v>
      </c>
      <c r="H738" s="344"/>
      <c r="I738" s="344"/>
      <c r="J738" s="344"/>
      <c r="K738" s="340">
        <v>1.02</v>
      </c>
      <c r="L738" s="10"/>
      <c r="M738" s="419"/>
      <c r="N738" s="420"/>
      <c r="O738"/>
      <c r="P738" s="412"/>
      <c r="Q738" s="391"/>
      <c r="R738" s="393"/>
    </row>
    <row r="739" spans="1:18" ht="30" customHeight="1" x14ac:dyDescent="0.25">
      <c r="A739" s="63"/>
      <c r="B739" s="20"/>
      <c r="C739" s="18"/>
      <c r="D739" s="18"/>
      <c r="E739" s="18"/>
      <c r="F739" s="18"/>
      <c r="G739" s="18"/>
      <c r="H739" s="18"/>
      <c r="I739" s="18"/>
      <c r="J739" s="18" t="s">
        <v>358</v>
      </c>
      <c r="K739" s="301">
        <f>+K736*K737/K738</f>
        <v>59579.330882352944</v>
      </c>
      <c r="L739" s="20" t="s">
        <v>11</v>
      </c>
      <c r="M739" s="419"/>
      <c r="N739" s="420"/>
      <c r="O739"/>
      <c r="P739" s="412"/>
      <c r="Q739" s="391"/>
      <c r="R739" s="393"/>
    </row>
    <row r="740" spans="1:18" ht="30" customHeight="1" thickBot="1" x14ac:dyDescent="0.3">
      <c r="A740" s="63"/>
      <c r="B740" s="20"/>
      <c r="C740" s="18"/>
      <c r="D740" s="18"/>
      <c r="E740" s="18"/>
      <c r="F740" s="18"/>
      <c r="G740" s="413" t="s">
        <v>537</v>
      </c>
      <c r="H740" s="18"/>
      <c r="I740" s="18"/>
      <c r="J740" s="361">
        <f>VLOOKUP(B731,'Mil Cost Premiums for RUCs'!$A$4:$R$265,18,FALSE)</f>
        <v>1.0209999999999999</v>
      </c>
      <c r="K740" s="301">
        <f>+K739*J740</f>
        <v>60830.496830882352</v>
      </c>
      <c r="L740" s="20" t="s">
        <v>11</v>
      </c>
      <c r="M740" s="419"/>
      <c r="N740" s="420"/>
      <c r="O740"/>
      <c r="P740" s="412"/>
      <c r="Q740" s="391"/>
      <c r="R740" s="393"/>
    </row>
    <row r="741" spans="1:18" ht="30" customHeight="1" thickBot="1" x14ac:dyDescent="0.3">
      <c r="A741" s="76"/>
      <c r="B741" s="77"/>
      <c r="C741" s="77"/>
      <c r="D741" s="77"/>
      <c r="E741" s="77"/>
      <c r="F741" s="77"/>
      <c r="G741" s="77"/>
      <c r="H741" s="77"/>
      <c r="I741" s="77"/>
      <c r="J741" s="77"/>
      <c r="K741" s="77"/>
      <c r="L741" s="78"/>
      <c r="M741" s="419"/>
      <c r="N741" s="420"/>
      <c r="O741"/>
      <c r="P741" s="412"/>
      <c r="Q741" s="391"/>
      <c r="R741" s="393"/>
    </row>
    <row r="742" spans="1:18" ht="30" customHeight="1" x14ac:dyDescent="0.25">
      <c r="A742" s="30" t="s">
        <v>288</v>
      </c>
      <c r="B742" s="208">
        <v>1593</v>
      </c>
      <c r="C742" s="209" t="s">
        <v>3239</v>
      </c>
      <c r="D742" s="210"/>
      <c r="E742" s="177" t="s">
        <v>291</v>
      </c>
      <c r="F742" s="178" t="s">
        <v>3</v>
      </c>
      <c r="G742" s="465" t="s">
        <v>290</v>
      </c>
      <c r="H742" s="179">
        <v>600</v>
      </c>
      <c r="I742" s="177" t="s">
        <v>292</v>
      </c>
      <c r="J742" s="747" t="s">
        <v>641</v>
      </c>
      <c r="K742" s="747"/>
      <c r="L742" s="748"/>
      <c r="M742" s="419"/>
      <c r="N742" s="420"/>
      <c r="O742"/>
      <c r="P742" s="412"/>
      <c r="Q742" s="391"/>
      <c r="R742" s="393"/>
    </row>
    <row r="743" spans="1:18" ht="30" customHeight="1" x14ac:dyDescent="0.25">
      <c r="A743" s="48" t="s">
        <v>529</v>
      </c>
      <c r="B743" s="394" t="s">
        <v>560</v>
      </c>
      <c r="C743" s="395"/>
      <c r="D743" s="396"/>
      <c r="E743" s="397" t="s">
        <v>519</v>
      </c>
      <c r="F743" s="397" t="s">
        <v>561</v>
      </c>
      <c r="G743" s="398" t="s">
        <v>562</v>
      </c>
      <c r="H743" s="399"/>
      <c r="I743" s="181" t="s">
        <v>530</v>
      </c>
      <c r="J743" s="181"/>
      <c r="K743" s="288" t="s">
        <v>521</v>
      </c>
      <c r="L743" s="289"/>
      <c r="M743" s="419"/>
      <c r="N743" s="420"/>
      <c r="O743"/>
      <c r="P743" s="412"/>
      <c r="Q743" s="391"/>
      <c r="R743" s="393"/>
    </row>
    <row r="744" spans="1:18" s="49" customFormat="1" ht="30" customHeight="1" x14ac:dyDescent="0.25">
      <c r="A744" s="61" t="s">
        <v>780</v>
      </c>
      <c r="B744" s="503" t="s">
        <v>3240</v>
      </c>
      <c r="C744" s="504"/>
      <c r="D744" s="505"/>
      <c r="E744" s="756">
        <v>7.64</v>
      </c>
      <c r="F744" s="22" t="s">
        <v>9</v>
      </c>
      <c r="G744" s="757">
        <v>9</v>
      </c>
      <c r="H744" s="758" t="s">
        <v>828</v>
      </c>
      <c r="I744" s="759">
        <v>1.04</v>
      </c>
      <c r="J744" s="20"/>
      <c r="K744" s="756">
        <f>+E744*G744*I744</f>
        <v>71.51039999999999</v>
      </c>
      <c r="L744" s="22" t="s">
        <v>3</v>
      </c>
      <c r="M744" s="425"/>
      <c r="N744" s="420"/>
      <c r="P744" s="412"/>
      <c r="Q744" s="391"/>
      <c r="R744" s="393"/>
    </row>
    <row r="745" spans="1:18" ht="30" customHeight="1" x14ac:dyDescent="0.25">
      <c r="A745" s="61" t="s">
        <v>780</v>
      </c>
      <c r="B745" s="503" t="s">
        <v>3241</v>
      </c>
      <c r="C745" s="504"/>
      <c r="D745" s="505"/>
      <c r="E745" s="760">
        <v>0.76</v>
      </c>
      <c r="F745" s="22" t="s">
        <v>9</v>
      </c>
      <c r="G745" s="757">
        <v>9</v>
      </c>
      <c r="H745" s="758" t="s">
        <v>828</v>
      </c>
      <c r="I745" s="759">
        <v>1.04</v>
      </c>
      <c r="J745" s="20"/>
      <c r="K745" s="756">
        <f>+E745*G745*I745</f>
        <v>7.1135999999999999</v>
      </c>
      <c r="L745" s="22" t="s">
        <v>3</v>
      </c>
      <c r="M745" s="419"/>
      <c r="N745" s="420"/>
      <c r="O745"/>
      <c r="P745" s="412"/>
      <c r="Q745" s="391"/>
      <c r="R745" s="393"/>
    </row>
    <row r="746" spans="1:18" ht="30" customHeight="1" x14ac:dyDescent="0.25">
      <c r="A746" s="61" t="s">
        <v>836</v>
      </c>
      <c r="B746" s="402" t="s">
        <v>3242</v>
      </c>
      <c r="C746" s="403"/>
      <c r="D746" s="404"/>
      <c r="E746" s="405">
        <f>49.75+(1750)</f>
        <v>1799.75</v>
      </c>
      <c r="F746" s="20" t="s">
        <v>11</v>
      </c>
      <c r="G746" s="1820">
        <f>8/600</f>
        <v>1.3333333333333334E-2</v>
      </c>
      <c r="H746" s="609" t="s">
        <v>1990</v>
      </c>
      <c r="I746" s="751">
        <v>1.05</v>
      </c>
      <c r="J746" s="20"/>
      <c r="K746" s="756">
        <f>+E746*G746*I746</f>
        <v>25.196500000000004</v>
      </c>
      <c r="L746" s="22" t="s">
        <v>3</v>
      </c>
      <c r="M746" s="419"/>
      <c r="N746" s="420"/>
      <c r="O746"/>
      <c r="P746" s="412"/>
      <c r="Q746" s="391"/>
      <c r="R746" s="393"/>
    </row>
    <row r="747" spans="1:18" ht="30" customHeight="1" x14ac:dyDescent="0.25">
      <c r="A747" s="63"/>
      <c r="B747" s="186"/>
      <c r="C747" s="186"/>
      <c r="D747" s="186"/>
      <c r="E747" s="405"/>
      <c r="F747" s="20"/>
      <c r="G747" s="20"/>
      <c r="H747" s="20"/>
      <c r="I747" s="20"/>
      <c r="J747" s="20" t="s">
        <v>646</v>
      </c>
      <c r="K747" s="529">
        <f>SUM(K744:K746)</f>
        <v>103.8205</v>
      </c>
      <c r="L747" s="22" t="s">
        <v>3</v>
      </c>
      <c r="M747" s="670"/>
      <c r="N747" s="671"/>
      <c r="O747" s="43"/>
      <c r="P747" s="672"/>
      <c r="Q747" s="671"/>
      <c r="R747" s="673"/>
    </row>
    <row r="748" spans="1:18" ht="30" customHeight="1" x14ac:dyDescent="0.25">
      <c r="A748" s="61"/>
      <c r="B748" s="410"/>
      <c r="C748" s="410"/>
      <c r="D748" s="410"/>
      <c r="E748" s="405"/>
      <c r="F748" s="338" t="s">
        <v>533</v>
      </c>
      <c r="G748" s="339" t="s">
        <v>534</v>
      </c>
      <c r="H748" s="339"/>
      <c r="I748" s="339"/>
      <c r="J748" s="339"/>
      <c r="K748" s="340">
        <v>1.07</v>
      </c>
      <c r="L748" s="10"/>
      <c r="M748" s="670"/>
      <c r="N748" s="671"/>
      <c r="O748" s="43"/>
      <c r="P748" s="672"/>
      <c r="Q748" s="671"/>
      <c r="R748" s="673"/>
    </row>
    <row r="749" spans="1:18" ht="30" customHeight="1" x14ac:dyDescent="0.25">
      <c r="A749" s="61"/>
      <c r="B749" s="410"/>
      <c r="C749" s="410"/>
      <c r="D749" s="410"/>
      <c r="E749" s="405"/>
      <c r="F749" s="343"/>
      <c r="G749" s="344" t="s">
        <v>535</v>
      </c>
      <c r="H749" s="344"/>
      <c r="I749" s="344"/>
      <c r="J749" s="344"/>
      <c r="K749" s="340">
        <v>1.02</v>
      </c>
      <c r="L749" s="10"/>
      <c r="M749" s="419"/>
      <c r="N749" s="420"/>
      <c r="O749"/>
      <c r="P749" s="412"/>
      <c r="Q749" s="391"/>
      <c r="R749" s="393"/>
    </row>
    <row r="750" spans="1:18" ht="30" customHeight="1" x14ac:dyDescent="0.25">
      <c r="A750" s="63"/>
      <c r="B750" s="20"/>
      <c r="C750" s="18"/>
      <c r="D750" s="18"/>
      <c r="E750" s="18"/>
      <c r="F750" s="18"/>
      <c r="G750" s="18"/>
      <c r="H750" s="18"/>
      <c r="I750" s="18"/>
      <c r="J750" s="18" t="s">
        <v>358</v>
      </c>
      <c r="K750" s="301">
        <f>+K747*K748/K749</f>
        <v>108.90974019607843</v>
      </c>
      <c r="L750" s="22" t="s">
        <v>3</v>
      </c>
      <c r="M750" s="419"/>
      <c r="N750" s="420"/>
      <c r="O750"/>
      <c r="P750" s="412"/>
      <c r="Q750" s="391"/>
      <c r="R750" s="393"/>
    </row>
    <row r="751" spans="1:18" ht="30" customHeight="1" thickBot="1" x14ac:dyDescent="0.3">
      <c r="A751" s="63"/>
      <c r="B751" s="20"/>
      <c r="C751" s="18"/>
      <c r="D751" s="18"/>
      <c r="E751" s="18"/>
      <c r="F751" s="18"/>
      <c r="G751" s="413" t="s">
        <v>537</v>
      </c>
      <c r="H751" s="18"/>
      <c r="I751" s="18"/>
      <c r="J751" s="361">
        <f>+'Mil Cost Premiums for RUCs'!$R$23</f>
        <v>1.0209999999999999</v>
      </c>
      <c r="K751" s="301">
        <f>+K750*J751</f>
        <v>111.19684474019607</v>
      </c>
      <c r="L751" s="22" t="s">
        <v>3</v>
      </c>
      <c r="M751" s="419"/>
      <c r="N751" s="420"/>
      <c r="O751"/>
      <c r="P751" s="412"/>
      <c r="Q751" s="391"/>
      <c r="R751" s="393"/>
    </row>
    <row r="752" spans="1:18" ht="30" customHeight="1" thickBot="1" x14ac:dyDescent="0.3">
      <c r="A752" s="76"/>
      <c r="B752" s="77"/>
      <c r="C752" s="77"/>
      <c r="D752" s="77"/>
      <c r="E752" s="77"/>
      <c r="F752" s="77"/>
      <c r="G752" s="77"/>
      <c r="H752" s="77"/>
      <c r="I752" s="77"/>
      <c r="J752" s="77"/>
      <c r="K752" s="77"/>
      <c r="L752" s="78"/>
      <c r="M752" s="419"/>
      <c r="N752" s="420"/>
      <c r="O752"/>
      <c r="P752" s="412"/>
      <c r="Q752" s="391"/>
      <c r="R752" s="393"/>
    </row>
    <row r="753" spans="1:18" s="49" customFormat="1" ht="30" customHeight="1" x14ac:dyDescent="0.25">
      <c r="A753" s="30" t="s">
        <v>288</v>
      </c>
      <c r="B753" s="208">
        <v>1641</v>
      </c>
      <c r="C753" s="209" t="s">
        <v>853</v>
      </c>
      <c r="D753" s="210"/>
      <c r="E753" s="177" t="s">
        <v>291</v>
      </c>
      <c r="F753" s="178" t="s">
        <v>7</v>
      </c>
      <c r="G753" s="123" t="s">
        <v>375</v>
      </c>
      <c r="H753" s="539">
        <v>1727</v>
      </c>
      <c r="I753" s="177" t="s">
        <v>292</v>
      </c>
      <c r="J753" s="747" t="s">
        <v>641</v>
      </c>
      <c r="K753" s="747"/>
      <c r="L753" s="748"/>
      <c r="M753" s="425"/>
      <c r="N753" s="420"/>
      <c r="P753" s="412"/>
      <c r="Q753" s="391"/>
      <c r="R753" s="393"/>
    </row>
    <row r="754" spans="1:18" ht="30" customHeight="1" x14ac:dyDescent="0.25">
      <c r="A754" s="48" t="s">
        <v>529</v>
      </c>
      <c r="B754" s="394" t="s">
        <v>560</v>
      </c>
      <c r="C754" s="395"/>
      <c r="D754" s="396"/>
      <c r="E754" s="397" t="s">
        <v>519</v>
      </c>
      <c r="F754" s="397" t="s">
        <v>561</v>
      </c>
      <c r="G754" s="398" t="s">
        <v>562</v>
      </c>
      <c r="H754" s="399"/>
      <c r="I754" s="400" t="s">
        <v>530</v>
      </c>
      <c r="J754" s="400"/>
      <c r="K754" s="288" t="s">
        <v>521</v>
      </c>
      <c r="L754" s="289"/>
      <c r="M754" s="419"/>
      <c r="N754" s="420"/>
      <c r="O754"/>
      <c r="P754" s="412"/>
      <c r="Q754" s="391"/>
      <c r="R754" s="393"/>
    </row>
    <row r="755" spans="1:18" ht="30" customHeight="1" x14ac:dyDescent="0.25">
      <c r="A755" s="61" t="s">
        <v>836</v>
      </c>
      <c r="B755" s="402" t="s">
        <v>854</v>
      </c>
      <c r="C755" s="403"/>
      <c r="D755" s="404"/>
      <c r="E755" s="405">
        <f>+(530+870)/2</f>
        <v>700</v>
      </c>
      <c r="F755" s="20" t="s">
        <v>7</v>
      </c>
      <c r="G755" s="749">
        <v>0.5</v>
      </c>
      <c r="H755" s="750" t="s">
        <v>855</v>
      </c>
      <c r="I755" s="20">
        <v>1.05</v>
      </c>
      <c r="J755" s="751"/>
      <c r="K755" s="405">
        <f>+E755*I755*G755</f>
        <v>367.5</v>
      </c>
      <c r="L755" s="20" t="s">
        <v>7</v>
      </c>
      <c r="M755" s="670"/>
      <c r="N755" s="671"/>
      <c r="O755" s="43"/>
      <c r="P755" s="672"/>
      <c r="Q755" s="671"/>
      <c r="R755" s="673"/>
    </row>
    <row r="756" spans="1:18" ht="30" customHeight="1" x14ac:dyDescent="0.25">
      <c r="A756" s="61" t="s">
        <v>782</v>
      </c>
      <c r="B756" s="402" t="s">
        <v>856</v>
      </c>
      <c r="C756" s="403"/>
      <c r="D756" s="404"/>
      <c r="E756" s="405">
        <f>+(79+112)/2</f>
        <v>95.5</v>
      </c>
      <c r="F756" s="20" t="s">
        <v>3</v>
      </c>
      <c r="G756" s="20">
        <v>1.78</v>
      </c>
      <c r="H756" s="20" t="s">
        <v>857</v>
      </c>
      <c r="I756" s="20">
        <v>1.04</v>
      </c>
      <c r="J756" s="751"/>
      <c r="K756" s="405">
        <f>+E756*G756*I756</f>
        <v>176.78960000000001</v>
      </c>
      <c r="L756" s="20" t="s">
        <v>7</v>
      </c>
      <c r="M756" s="670"/>
      <c r="N756" s="671"/>
      <c r="O756" s="43"/>
      <c r="P756" s="672"/>
      <c r="Q756" s="671"/>
      <c r="R756" s="673"/>
    </row>
    <row r="757" spans="1:18" ht="30" customHeight="1" x14ac:dyDescent="0.25">
      <c r="A757" s="61"/>
      <c r="B757" s="20"/>
      <c r="C757" s="18"/>
      <c r="D757" s="18"/>
      <c r="E757" s="18"/>
      <c r="F757" s="18"/>
      <c r="G757" s="18"/>
      <c r="H757" s="18"/>
      <c r="I757" s="18"/>
      <c r="J757" s="20" t="s">
        <v>858</v>
      </c>
      <c r="K757" s="23">
        <f>AVERAGE(K755:K756)</f>
        <v>272.14480000000003</v>
      </c>
      <c r="L757" s="20" t="s">
        <v>7</v>
      </c>
      <c r="M757" s="419"/>
      <c r="N757" s="420"/>
      <c r="O757"/>
      <c r="P757" s="412"/>
      <c r="Q757" s="391"/>
      <c r="R757" s="393"/>
    </row>
    <row r="758" spans="1:18" ht="30" customHeight="1" x14ac:dyDescent="0.25">
      <c r="A758" s="61"/>
      <c r="B758" s="410"/>
      <c r="C758" s="410"/>
      <c r="D758" s="410"/>
      <c r="E758" s="405"/>
      <c r="F758" s="338" t="s">
        <v>533</v>
      </c>
      <c r="G758" s="339" t="s">
        <v>534</v>
      </c>
      <c r="H758" s="339"/>
      <c r="I758" s="339"/>
      <c r="J758" s="339"/>
      <c r="K758" s="340">
        <v>1.07</v>
      </c>
      <c r="L758" s="10"/>
      <c r="M758" s="419"/>
      <c r="N758" s="1114"/>
      <c r="O758" s="1114"/>
      <c r="P758" s="412"/>
      <c r="Q758" s="391"/>
      <c r="R758" s="393"/>
    </row>
    <row r="759" spans="1:18" ht="30" customHeight="1" x14ac:dyDescent="0.25">
      <c r="A759" s="61"/>
      <c r="B759" s="410"/>
      <c r="C759" s="410"/>
      <c r="D759" s="410"/>
      <c r="E759" s="405"/>
      <c r="F759" s="343"/>
      <c r="G759" s="344" t="s">
        <v>535</v>
      </c>
      <c r="H759" s="344"/>
      <c r="I759" s="344"/>
      <c r="J759" s="344"/>
      <c r="K759" s="340">
        <v>1.02</v>
      </c>
      <c r="L759" s="10"/>
      <c r="M759" s="419"/>
      <c r="N759" s="1113"/>
      <c r="O759" s="1113"/>
      <c r="P759" s="412"/>
      <c r="Q759" s="391"/>
      <c r="R759" s="393"/>
    </row>
    <row r="760" spans="1:18" ht="30" customHeight="1" thickBot="1" x14ac:dyDescent="0.3">
      <c r="A760" s="61"/>
      <c r="B760" s="20"/>
      <c r="C760" s="18"/>
      <c r="D760" s="18"/>
      <c r="E760" s="18"/>
      <c r="F760" s="18"/>
      <c r="G760" s="413" t="s">
        <v>537</v>
      </c>
      <c r="H760" s="18"/>
      <c r="I760" s="18"/>
      <c r="J760" s="361">
        <f>VLOOKUP(B753,'Mil Cost Premiums for RUCs'!$A$4:$R$265,18,FALSE)</f>
        <v>1.0209999999999999</v>
      </c>
      <c r="K760" s="23">
        <f>+K757*K758/K759</f>
        <v>285.48523137254904</v>
      </c>
      <c r="L760" s="20" t="s">
        <v>7</v>
      </c>
      <c r="M760" s="419"/>
      <c r="N760" s="671"/>
      <c r="O760" s="59"/>
      <c r="P760" s="412"/>
      <c r="Q760" s="391"/>
      <c r="R760" s="393"/>
    </row>
    <row r="761" spans="1:18" s="49" customFormat="1" ht="30" customHeight="1" thickBot="1" x14ac:dyDescent="0.3">
      <c r="A761" s="76"/>
      <c r="B761" s="77"/>
      <c r="C761" s="77"/>
      <c r="D761" s="77"/>
      <c r="E761" s="77"/>
      <c r="F761" s="77"/>
      <c r="G761" s="77"/>
      <c r="H761" s="77"/>
      <c r="I761" s="77"/>
      <c r="J761" s="77"/>
      <c r="K761" s="77"/>
      <c r="L761" s="78"/>
      <c r="M761" s="425"/>
      <c r="N761" s="420"/>
      <c r="P761" s="412"/>
      <c r="Q761" s="391"/>
      <c r="R761" s="393"/>
    </row>
    <row r="762" spans="1:18" ht="30" customHeight="1" x14ac:dyDescent="0.25">
      <c r="A762" s="207" t="s">
        <v>288</v>
      </c>
      <c r="B762" s="208">
        <v>1711</v>
      </c>
      <c r="C762" s="282" t="s">
        <v>859</v>
      </c>
      <c r="D762" s="283"/>
      <c r="E762" s="177" t="s">
        <v>291</v>
      </c>
      <c r="F762" s="178" t="s">
        <v>9</v>
      </c>
      <c r="G762" s="123" t="s">
        <v>375</v>
      </c>
      <c r="H762" s="761">
        <v>10422</v>
      </c>
      <c r="I762" s="177" t="s">
        <v>292</v>
      </c>
      <c r="J762" s="38" t="s">
        <v>516</v>
      </c>
      <c r="K762" s="39"/>
      <c r="L762" s="40"/>
      <c r="M762" s="419"/>
      <c r="N762" s="420"/>
      <c r="O762"/>
      <c r="P762" s="412"/>
      <c r="Q762" s="391"/>
      <c r="R762" s="393"/>
    </row>
    <row r="763" spans="1:18" ht="30" customHeight="1" x14ac:dyDescent="0.25">
      <c r="A763" s="181" t="s">
        <v>517</v>
      </c>
      <c r="B763" s="180" t="s">
        <v>295</v>
      </c>
      <c r="C763" s="180"/>
      <c r="D763" s="180"/>
      <c r="E763" s="182" t="s">
        <v>518</v>
      </c>
      <c r="F763" s="285" t="s">
        <v>519</v>
      </c>
      <c r="G763" s="181"/>
      <c r="H763" s="181"/>
      <c r="I763" s="286" t="s">
        <v>520</v>
      </c>
      <c r="J763" s="287"/>
      <c r="K763" s="288" t="s">
        <v>521</v>
      </c>
      <c r="L763" s="289"/>
      <c r="M763" s="419"/>
      <c r="N763" s="420"/>
      <c r="O763"/>
      <c r="P763" s="412"/>
      <c r="Q763" s="391"/>
      <c r="R763" s="393"/>
    </row>
    <row r="764" spans="1:18" s="128" customFormat="1" ht="30" customHeight="1" x14ac:dyDescent="0.25">
      <c r="A764" s="290" t="s">
        <v>522</v>
      </c>
      <c r="B764" s="214" t="s">
        <v>860</v>
      </c>
      <c r="C764" s="214"/>
      <c r="D764" s="214"/>
      <c r="E764" s="291">
        <v>30000</v>
      </c>
      <c r="F764" s="292">
        <v>320</v>
      </c>
      <c r="G764" s="293"/>
      <c r="H764" s="294"/>
      <c r="I764" s="295" t="s">
        <v>524</v>
      </c>
      <c r="J764" s="296"/>
      <c r="K764" s="292">
        <f>+F764</f>
        <v>320</v>
      </c>
      <c r="L764" s="290" t="s">
        <v>9</v>
      </c>
      <c r="M764" s="419"/>
      <c r="N764" s="1603"/>
      <c r="P764" s="713"/>
      <c r="Q764" s="712"/>
      <c r="R764" s="714"/>
    </row>
    <row r="765" spans="1:18" s="128" customFormat="1" ht="30" customHeight="1" thickBot="1" x14ac:dyDescent="0.3">
      <c r="A765" s="20"/>
      <c r="B765" s="191"/>
      <c r="C765" s="191"/>
      <c r="D765" s="191"/>
      <c r="E765" s="297"/>
      <c r="F765" s="298"/>
      <c r="G765" s="298"/>
      <c r="H765" s="299"/>
      <c r="I765" s="18"/>
      <c r="J765" s="185" t="s">
        <v>358</v>
      </c>
      <c r="K765" s="301">
        <f>+K764</f>
        <v>320</v>
      </c>
      <c r="L765" s="20" t="s">
        <v>9</v>
      </c>
      <c r="M765" s="419"/>
      <c r="N765" s="1603"/>
      <c r="P765" s="713"/>
      <c r="Q765" s="712"/>
      <c r="R765" s="714"/>
    </row>
    <row r="766" spans="1:18" ht="30" customHeight="1" thickBot="1" x14ac:dyDescent="0.3">
      <c r="A766" s="76"/>
      <c r="B766" s="77"/>
      <c r="C766" s="77"/>
      <c r="D766" s="77"/>
      <c r="E766" s="77"/>
      <c r="F766" s="77"/>
      <c r="G766" s="77"/>
      <c r="H766" s="77"/>
      <c r="I766" s="77"/>
      <c r="J766" s="77"/>
      <c r="K766" s="77"/>
      <c r="L766" s="78"/>
      <c r="M766" s="670"/>
      <c r="N766" s="671"/>
      <c r="O766" s="43"/>
      <c r="P766" s="672"/>
      <c r="Q766" s="671"/>
      <c r="R766" s="673"/>
    </row>
    <row r="767" spans="1:18" ht="30" customHeight="1" x14ac:dyDescent="0.25">
      <c r="A767" s="207" t="s">
        <v>288</v>
      </c>
      <c r="B767" s="208">
        <v>1712</v>
      </c>
      <c r="C767" s="282" t="s">
        <v>861</v>
      </c>
      <c r="D767" s="283"/>
      <c r="E767" s="177" t="s">
        <v>291</v>
      </c>
      <c r="F767" s="178" t="s">
        <v>9</v>
      </c>
      <c r="G767" s="123" t="s">
        <v>375</v>
      </c>
      <c r="H767" s="761">
        <v>15946</v>
      </c>
      <c r="I767" s="177" t="s">
        <v>292</v>
      </c>
      <c r="J767" s="38" t="s">
        <v>516</v>
      </c>
      <c r="K767" s="39"/>
      <c r="L767" s="40"/>
      <c r="M767" s="670"/>
      <c r="N767" s="671"/>
      <c r="O767" s="43"/>
      <c r="P767" s="672"/>
      <c r="Q767" s="671"/>
      <c r="R767" s="673"/>
    </row>
    <row r="768" spans="1:18" s="128" customFormat="1" ht="30" customHeight="1" x14ac:dyDescent="0.25">
      <c r="A768" s="181" t="s">
        <v>517</v>
      </c>
      <c r="B768" s="180" t="s">
        <v>295</v>
      </c>
      <c r="C768" s="180"/>
      <c r="D768" s="180"/>
      <c r="E768" s="182" t="s">
        <v>518</v>
      </c>
      <c r="F768" s="285" t="s">
        <v>519</v>
      </c>
      <c r="G768" s="181"/>
      <c r="H768" s="181"/>
      <c r="I768" s="286" t="s">
        <v>520</v>
      </c>
      <c r="J768" s="287"/>
      <c r="K768" s="288" t="s">
        <v>521</v>
      </c>
      <c r="L768" s="289"/>
      <c r="M768" s="419"/>
      <c r="N768" s="1603"/>
      <c r="P768" s="713"/>
      <c r="Q768" s="712"/>
      <c r="R768" s="714"/>
    </row>
    <row r="769" spans="1:21" ht="30" customHeight="1" x14ac:dyDescent="0.25">
      <c r="A769" s="290" t="s">
        <v>522</v>
      </c>
      <c r="B769" s="214" t="s">
        <v>860</v>
      </c>
      <c r="C769" s="214"/>
      <c r="D769" s="214"/>
      <c r="E769" s="291">
        <v>30000</v>
      </c>
      <c r="F769" s="292">
        <v>320</v>
      </c>
      <c r="G769" s="293"/>
      <c r="H769" s="294"/>
      <c r="I769" s="295" t="s">
        <v>524</v>
      </c>
      <c r="J769" s="296"/>
      <c r="K769" s="292">
        <f>+F769</f>
        <v>320</v>
      </c>
      <c r="L769" s="290" t="s">
        <v>9</v>
      </c>
      <c r="P769" s="43"/>
      <c r="Q769" s="43"/>
      <c r="R769" s="43"/>
      <c r="S769" s="60"/>
      <c r="T769" s="60"/>
      <c r="U769" s="43"/>
    </row>
    <row r="770" spans="1:21" ht="30" customHeight="1" thickBot="1" x14ac:dyDescent="0.3">
      <c r="A770" s="20"/>
      <c r="B770" s="191"/>
      <c r="C770" s="191"/>
      <c r="D770" s="191"/>
      <c r="E770" s="297"/>
      <c r="F770" s="298"/>
      <c r="G770" s="298"/>
      <c r="H770" s="299"/>
      <c r="I770" s="18"/>
      <c r="J770" s="185" t="s">
        <v>358</v>
      </c>
      <c r="K770" s="301">
        <f>+K769</f>
        <v>320</v>
      </c>
      <c r="L770" s="20" t="s">
        <v>9</v>
      </c>
      <c r="P770" s="43"/>
      <c r="Q770" s="43"/>
      <c r="R770" s="43"/>
      <c r="S770" s="60"/>
      <c r="T770" s="60"/>
      <c r="U770" s="43"/>
    </row>
    <row r="771" spans="1:21" ht="30" customHeight="1" thickBot="1" x14ac:dyDescent="0.3">
      <c r="A771" s="76"/>
      <c r="B771" s="77"/>
      <c r="C771" s="77"/>
      <c r="D771" s="77"/>
      <c r="E771" s="77"/>
      <c r="F771" s="77"/>
      <c r="G771" s="77"/>
      <c r="H771" s="77"/>
      <c r="I771" s="77"/>
      <c r="J771" s="77"/>
      <c r="K771" s="77"/>
      <c r="L771" s="78"/>
      <c r="M771" s="419"/>
      <c r="N771" s="420"/>
      <c r="O771"/>
      <c r="P771" s="412"/>
      <c r="Q771" s="391"/>
      <c r="R771" s="393"/>
    </row>
    <row r="772" spans="1:21" s="49" customFormat="1" ht="30" customHeight="1" x14ac:dyDescent="0.25">
      <c r="A772" s="207" t="s">
        <v>288</v>
      </c>
      <c r="B772" s="208">
        <v>1713</v>
      </c>
      <c r="C772" s="282" t="s">
        <v>862</v>
      </c>
      <c r="D772" s="283"/>
      <c r="E772" s="177" t="s">
        <v>291</v>
      </c>
      <c r="F772" s="178" t="s">
        <v>9</v>
      </c>
      <c r="G772" s="123" t="s">
        <v>375</v>
      </c>
      <c r="H772" s="762">
        <v>10675</v>
      </c>
      <c r="I772" s="177" t="s">
        <v>292</v>
      </c>
      <c r="J772" s="38" t="s">
        <v>863</v>
      </c>
      <c r="K772" s="39"/>
      <c r="L772" s="40"/>
      <c r="M772" s="425"/>
      <c r="N772" s="420"/>
      <c r="P772" s="412"/>
      <c r="Q772" s="391"/>
      <c r="R772" s="393"/>
    </row>
    <row r="773" spans="1:21" ht="30" customHeight="1" x14ac:dyDescent="0.25">
      <c r="A773" s="181" t="s">
        <v>517</v>
      </c>
      <c r="B773" s="180" t="s">
        <v>295</v>
      </c>
      <c r="C773" s="180"/>
      <c r="D773" s="180"/>
      <c r="E773" s="285" t="s">
        <v>519</v>
      </c>
      <c r="F773" s="181" t="s">
        <v>518</v>
      </c>
      <c r="G773" s="665" t="s">
        <v>562</v>
      </c>
      <c r="H773" s="666"/>
      <c r="I773" s="286" t="s">
        <v>520</v>
      </c>
      <c r="J773" s="287"/>
      <c r="K773" s="288" t="s">
        <v>521</v>
      </c>
      <c r="L773" s="289"/>
      <c r="M773" s="419"/>
      <c r="N773" s="420"/>
      <c r="O773"/>
      <c r="P773" s="412"/>
      <c r="Q773" s="391"/>
      <c r="R773" s="393"/>
    </row>
    <row r="774" spans="1:21" ht="30" customHeight="1" x14ac:dyDescent="0.25">
      <c r="A774" s="20">
        <v>14129</v>
      </c>
      <c r="B774" s="503" t="s">
        <v>864</v>
      </c>
      <c r="C774" s="504"/>
      <c r="D774" s="505"/>
      <c r="E774" s="405">
        <v>247</v>
      </c>
      <c r="F774" s="729">
        <v>120000</v>
      </c>
      <c r="G774" s="293"/>
      <c r="H774" s="293"/>
      <c r="I774" s="295">
        <f>+'MILCON Inflation Table'!F17</f>
        <v>0.9432470865927236</v>
      </c>
      <c r="J774" s="296"/>
      <c r="K774" s="304">
        <f>+E774*I774</f>
        <v>232.98203038840273</v>
      </c>
      <c r="L774" s="290" t="s">
        <v>9</v>
      </c>
      <c r="M774" s="419"/>
      <c r="N774" s="420"/>
      <c r="O774"/>
      <c r="P774" s="412"/>
      <c r="Q774" s="391"/>
      <c r="R774" s="393"/>
    </row>
    <row r="775" spans="1:21" ht="30" customHeight="1" thickBot="1" x14ac:dyDescent="0.3">
      <c r="A775" s="20"/>
      <c r="B775" s="250"/>
      <c r="C775" s="465"/>
      <c r="D775" s="465"/>
      <c r="E775" s="465"/>
      <c r="F775" s="763"/>
      <c r="G775" s="465"/>
      <c r="H775" s="764"/>
      <c r="I775" s="18"/>
      <c r="J775" s="185" t="s">
        <v>358</v>
      </c>
      <c r="K775" s="305">
        <f>+K774</f>
        <v>232.98203038840273</v>
      </c>
      <c r="L775" s="20" t="s">
        <v>9</v>
      </c>
      <c r="M775" s="419"/>
      <c r="N775" s="420"/>
      <c r="O775"/>
      <c r="P775" s="412"/>
      <c r="Q775" s="391"/>
      <c r="R775" s="393"/>
    </row>
    <row r="776" spans="1:21" ht="30" customHeight="1" thickBot="1" x14ac:dyDescent="0.3">
      <c r="A776" s="76"/>
      <c r="B776" s="77"/>
      <c r="C776" s="77"/>
      <c r="D776" s="77"/>
      <c r="E776" s="77"/>
      <c r="F776" s="77"/>
      <c r="G776" s="77"/>
      <c r="H776" s="77"/>
      <c r="I776" s="77"/>
      <c r="J776" s="77"/>
      <c r="K776" s="77"/>
      <c r="L776" s="78"/>
      <c r="M776" s="670"/>
      <c r="N776" s="671"/>
      <c r="O776" s="43"/>
      <c r="P776" s="672"/>
      <c r="Q776" s="671"/>
      <c r="R776" s="673"/>
    </row>
    <row r="777" spans="1:21" ht="30" customHeight="1" x14ac:dyDescent="0.25">
      <c r="A777" s="207" t="s">
        <v>288</v>
      </c>
      <c r="B777" s="208">
        <v>1714</v>
      </c>
      <c r="C777" s="282" t="s">
        <v>865</v>
      </c>
      <c r="D777" s="283"/>
      <c r="E777" s="177" t="s">
        <v>291</v>
      </c>
      <c r="F777" s="178" t="s">
        <v>9</v>
      </c>
      <c r="G777" s="123" t="s">
        <v>375</v>
      </c>
      <c r="H777" s="761">
        <v>15797</v>
      </c>
      <c r="I777" s="177" t="s">
        <v>292</v>
      </c>
      <c r="J777" s="38" t="s">
        <v>516</v>
      </c>
      <c r="K777" s="39"/>
      <c r="L777" s="40"/>
      <c r="M777" s="670"/>
      <c r="N777" s="671"/>
      <c r="O777" s="43"/>
      <c r="P777" s="672"/>
      <c r="Q777" s="671"/>
      <c r="R777" s="673"/>
    </row>
    <row r="778" spans="1:21" ht="30" customHeight="1" x14ac:dyDescent="0.25">
      <c r="A778" s="181" t="s">
        <v>517</v>
      </c>
      <c r="B778" s="180" t="s">
        <v>295</v>
      </c>
      <c r="C778" s="180"/>
      <c r="D778" s="180"/>
      <c r="E778" s="182" t="s">
        <v>518</v>
      </c>
      <c r="F778" s="285" t="s">
        <v>519</v>
      </c>
      <c r="G778" s="181"/>
      <c r="H778" s="181"/>
      <c r="I778" s="286" t="s">
        <v>520</v>
      </c>
      <c r="J778" s="287"/>
      <c r="K778" s="288" t="s">
        <v>521</v>
      </c>
      <c r="L778" s="289"/>
      <c r="M778" s="419"/>
      <c r="N778" s="420"/>
      <c r="O778"/>
      <c r="P778" s="412"/>
      <c r="Q778" s="391"/>
      <c r="R778" s="393"/>
    </row>
    <row r="779" spans="1:21" ht="30" customHeight="1" x14ac:dyDescent="0.25">
      <c r="A779" s="290" t="s">
        <v>522</v>
      </c>
      <c r="B779" s="214" t="s">
        <v>866</v>
      </c>
      <c r="C779" s="214"/>
      <c r="D779" s="214"/>
      <c r="E779" s="291">
        <v>52000</v>
      </c>
      <c r="F779" s="292">
        <v>245</v>
      </c>
      <c r="G779" s="293"/>
      <c r="H779" s="294"/>
      <c r="I779" s="295" t="s">
        <v>524</v>
      </c>
      <c r="J779" s="296"/>
      <c r="K779" s="292">
        <f>+F779</f>
        <v>245</v>
      </c>
      <c r="L779" s="290" t="s">
        <v>9</v>
      </c>
      <c r="M779" s="419"/>
      <c r="N779" s="420"/>
      <c r="O779"/>
      <c r="P779" s="412"/>
      <c r="Q779" s="391"/>
      <c r="R779" s="393"/>
    </row>
    <row r="780" spans="1:21" s="41" customFormat="1" ht="30" customHeight="1" thickBot="1" x14ac:dyDescent="0.3">
      <c r="A780" s="20"/>
      <c r="B780" s="191"/>
      <c r="C780" s="191"/>
      <c r="D780" s="191"/>
      <c r="E780" s="297"/>
      <c r="F780" s="298"/>
      <c r="G780" s="298"/>
      <c r="H780" s="299"/>
      <c r="I780" s="18"/>
      <c r="J780" s="185" t="s">
        <v>358</v>
      </c>
      <c r="K780" s="301">
        <f>+K779</f>
        <v>245</v>
      </c>
      <c r="L780" s="20" t="s">
        <v>9</v>
      </c>
      <c r="M780" s="341"/>
      <c r="N780" s="342"/>
      <c r="O780" s="42"/>
    </row>
    <row r="781" spans="1:21" s="49" customFormat="1" ht="30" customHeight="1" thickBot="1" x14ac:dyDescent="0.3">
      <c r="A781" s="76"/>
      <c r="B781" s="77"/>
      <c r="C781" s="77"/>
      <c r="D781" s="77"/>
      <c r="E781" s="77"/>
      <c r="F781" s="77"/>
      <c r="G781" s="77"/>
      <c r="H781" s="77"/>
      <c r="I781" s="77"/>
      <c r="J781" s="77"/>
      <c r="K781" s="77"/>
      <c r="L781" s="78"/>
      <c r="M781" s="502"/>
      <c r="N781" s="502"/>
      <c r="O781" s="27"/>
    </row>
    <row r="782" spans="1:21" ht="30" customHeight="1" x14ac:dyDescent="0.25">
      <c r="A782" s="207" t="s">
        <v>288</v>
      </c>
      <c r="B782" s="765">
        <v>1715</v>
      </c>
      <c r="C782" s="282" t="s">
        <v>867</v>
      </c>
      <c r="D782" s="283"/>
      <c r="E782" s="177" t="s">
        <v>291</v>
      </c>
      <c r="F782" s="178" t="s">
        <v>9</v>
      </c>
      <c r="G782" s="123" t="s">
        <v>375</v>
      </c>
      <c r="H782" s="179">
        <v>66128</v>
      </c>
      <c r="I782" s="177" t="s">
        <v>292</v>
      </c>
      <c r="J782" s="38" t="s">
        <v>713</v>
      </c>
      <c r="K782" s="39"/>
      <c r="L782" s="40"/>
      <c r="M782" s="1932"/>
      <c r="N782" s="213"/>
    </row>
    <row r="783" spans="1:21" ht="30" customHeight="1" x14ac:dyDescent="0.25">
      <c r="A783" s="181" t="s">
        <v>517</v>
      </c>
      <c r="B783" s="180" t="s">
        <v>295</v>
      </c>
      <c r="C783" s="180"/>
      <c r="D783" s="180"/>
      <c r="E783" s="285" t="s">
        <v>519</v>
      </c>
      <c r="F783" s="181" t="s">
        <v>518</v>
      </c>
      <c r="G783" s="665" t="s">
        <v>562</v>
      </c>
      <c r="H783" s="666"/>
      <c r="I783" s="286" t="s">
        <v>520</v>
      </c>
      <c r="J783" s="287"/>
      <c r="K783" s="493" t="s">
        <v>521</v>
      </c>
      <c r="L783" s="494"/>
      <c r="P783" s="43"/>
      <c r="Q783" s="43"/>
      <c r="R783" s="43"/>
      <c r="S783" s="60"/>
      <c r="T783" s="60"/>
      <c r="U783" s="43"/>
    </row>
    <row r="784" spans="1:21" ht="30" customHeight="1" x14ac:dyDescent="0.25">
      <c r="A784" s="290">
        <v>74028</v>
      </c>
      <c r="B784" s="214" t="s">
        <v>868</v>
      </c>
      <c r="C784" s="214"/>
      <c r="D784" s="214"/>
      <c r="E784" s="766">
        <v>250</v>
      </c>
      <c r="F784" s="767">
        <v>62000</v>
      </c>
      <c r="G784" s="680"/>
      <c r="H784" s="680"/>
      <c r="I784" s="295">
        <f>+'MILCON Inflation Table'!F16</f>
        <v>0.96211202832457809</v>
      </c>
      <c r="J784" s="296"/>
      <c r="K784" s="768">
        <f>+E784*I784</f>
        <v>240.52800708114452</v>
      </c>
      <c r="L784" s="147" t="s">
        <v>9</v>
      </c>
      <c r="P784" s="43"/>
      <c r="Q784" s="43"/>
      <c r="R784" s="43"/>
      <c r="S784" s="60"/>
      <c r="T784" s="60"/>
      <c r="U784" s="43"/>
    </row>
    <row r="785" spans="1:21" s="41" customFormat="1" ht="30" customHeight="1" thickBot="1" x14ac:dyDescent="0.3">
      <c r="A785" s="20"/>
      <c r="B785" s="191"/>
      <c r="C785" s="191"/>
      <c r="D785" s="191"/>
      <c r="E785" s="297"/>
      <c r="F785" s="298"/>
      <c r="G785" s="298"/>
      <c r="H785" s="299"/>
      <c r="I785" s="18"/>
      <c r="J785" s="185" t="s">
        <v>358</v>
      </c>
      <c r="K785" s="305">
        <f>+K784</f>
        <v>240.52800708114452</v>
      </c>
      <c r="L785" s="20" t="s">
        <v>9</v>
      </c>
      <c r="M785" s="341"/>
      <c r="N785" s="342"/>
      <c r="O785" s="42"/>
    </row>
    <row r="786" spans="1:21" s="49" customFormat="1" ht="30" customHeight="1" thickBot="1" x14ac:dyDescent="0.3">
      <c r="A786" s="76"/>
      <c r="B786" s="77"/>
      <c r="C786" s="77"/>
      <c r="D786" s="77"/>
      <c r="E786" s="77"/>
      <c r="F786" s="77"/>
      <c r="G786" s="77"/>
      <c r="H786" s="77"/>
      <c r="I786" s="77"/>
      <c r="J786" s="77"/>
      <c r="K786" s="77"/>
      <c r="L786" s="78"/>
      <c r="M786" s="502"/>
      <c r="N786" s="502"/>
      <c r="O786" s="27"/>
    </row>
    <row r="787" spans="1:21" ht="30" customHeight="1" x14ac:dyDescent="0.25">
      <c r="A787" s="207" t="s">
        <v>288</v>
      </c>
      <c r="B787" s="208">
        <v>1717</v>
      </c>
      <c r="C787" s="282" t="s">
        <v>869</v>
      </c>
      <c r="D787" s="283"/>
      <c r="E787" s="177" t="s">
        <v>291</v>
      </c>
      <c r="F787" s="178" t="s">
        <v>9</v>
      </c>
      <c r="G787" s="123" t="s">
        <v>375</v>
      </c>
      <c r="H787" s="761">
        <v>2898</v>
      </c>
      <c r="I787" s="177" t="s">
        <v>292</v>
      </c>
      <c r="J787" s="38" t="s">
        <v>516</v>
      </c>
      <c r="K787" s="39"/>
      <c r="L787" s="40"/>
      <c r="M787" s="43"/>
    </row>
    <row r="788" spans="1:21" ht="30" customHeight="1" x14ac:dyDescent="0.25">
      <c r="A788" s="181" t="s">
        <v>517</v>
      </c>
      <c r="B788" s="180" t="s">
        <v>295</v>
      </c>
      <c r="C788" s="180"/>
      <c r="D788" s="180"/>
      <c r="E788" s="182" t="s">
        <v>518</v>
      </c>
      <c r="F788" s="285" t="s">
        <v>519</v>
      </c>
      <c r="G788" s="181"/>
      <c r="H788" s="181"/>
      <c r="I788" s="286" t="s">
        <v>520</v>
      </c>
      <c r="J788" s="287"/>
      <c r="K788" s="288" t="s">
        <v>521</v>
      </c>
      <c r="L788" s="289"/>
      <c r="P788" s="43"/>
      <c r="Q788" s="43"/>
      <c r="R788" s="43"/>
      <c r="S788" s="60"/>
      <c r="T788" s="60"/>
      <c r="U788" s="43"/>
    </row>
    <row r="789" spans="1:21" ht="30" customHeight="1" x14ac:dyDescent="0.25">
      <c r="A789" s="290" t="s">
        <v>522</v>
      </c>
      <c r="B789" s="214" t="s">
        <v>870</v>
      </c>
      <c r="C789" s="214"/>
      <c r="D789" s="214"/>
      <c r="E789" s="291">
        <v>33000</v>
      </c>
      <c r="F789" s="292">
        <v>312</v>
      </c>
      <c r="G789" s="293"/>
      <c r="H789" s="294"/>
      <c r="I789" s="295" t="s">
        <v>524</v>
      </c>
      <c r="J789" s="296"/>
      <c r="K789" s="292">
        <f>+F789</f>
        <v>312</v>
      </c>
      <c r="L789" s="290" t="s">
        <v>9</v>
      </c>
      <c r="P789" s="43"/>
      <c r="Q789" s="43"/>
      <c r="R789" s="43"/>
      <c r="S789" s="60"/>
      <c r="T789" s="60"/>
      <c r="U789" s="43"/>
    </row>
    <row r="790" spans="1:21" s="41" customFormat="1" ht="30" customHeight="1" thickBot="1" x14ac:dyDescent="0.3">
      <c r="A790" s="20"/>
      <c r="B790" s="191"/>
      <c r="C790" s="191"/>
      <c r="D790" s="191"/>
      <c r="E790" s="297"/>
      <c r="F790" s="298"/>
      <c r="G790" s="298"/>
      <c r="H790" s="299"/>
      <c r="I790" s="18"/>
      <c r="J790" s="185" t="s">
        <v>358</v>
      </c>
      <c r="K790" s="301">
        <f>+K789</f>
        <v>312</v>
      </c>
      <c r="L790" s="20" t="s">
        <v>9</v>
      </c>
      <c r="M790" s="341"/>
      <c r="N790" s="342"/>
      <c r="O790" s="42"/>
    </row>
    <row r="791" spans="1:21" s="49" customFormat="1" ht="30" customHeight="1" thickBot="1" x14ac:dyDescent="0.3">
      <c r="A791" s="76"/>
      <c r="B791" s="77"/>
      <c r="C791" s="77"/>
      <c r="D791" s="77"/>
      <c r="E791" s="77"/>
      <c r="F791" s="77"/>
      <c r="G791" s="77"/>
      <c r="H791" s="77"/>
      <c r="I791" s="77"/>
      <c r="J791" s="77"/>
      <c r="K791" s="77"/>
      <c r="L791" s="78"/>
      <c r="M791" s="502"/>
      <c r="N791" s="502"/>
      <c r="O791" s="27"/>
    </row>
    <row r="792" spans="1:21" ht="30" customHeight="1" x14ac:dyDescent="0.25">
      <c r="A792" s="207" t="s">
        <v>288</v>
      </c>
      <c r="B792" s="208">
        <v>1718</v>
      </c>
      <c r="C792" s="282" t="s">
        <v>871</v>
      </c>
      <c r="D792" s="283"/>
      <c r="E792" s="177" t="s">
        <v>291</v>
      </c>
      <c r="F792" s="178" t="s">
        <v>9</v>
      </c>
      <c r="G792" s="123" t="s">
        <v>375</v>
      </c>
      <c r="H792" s="761">
        <v>5992</v>
      </c>
      <c r="I792" s="177" t="s">
        <v>292</v>
      </c>
      <c r="J792" s="38" t="s">
        <v>516</v>
      </c>
      <c r="K792" s="39"/>
      <c r="L792" s="40"/>
      <c r="M792" s="1881"/>
      <c r="N792" s="1270"/>
    </row>
    <row r="793" spans="1:21" ht="30" customHeight="1" x14ac:dyDescent="0.25">
      <c r="A793" s="181" t="s">
        <v>517</v>
      </c>
      <c r="B793" s="180" t="s">
        <v>295</v>
      </c>
      <c r="C793" s="180"/>
      <c r="D793" s="180"/>
      <c r="E793" s="182" t="s">
        <v>518</v>
      </c>
      <c r="F793" s="285" t="s">
        <v>519</v>
      </c>
      <c r="G793" s="181"/>
      <c r="H793" s="181"/>
      <c r="I793" s="286" t="s">
        <v>520</v>
      </c>
      <c r="J793" s="287"/>
      <c r="K793" s="288" t="s">
        <v>521</v>
      </c>
      <c r="L793" s="289"/>
      <c r="M793" s="1881"/>
      <c r="N793" s="1270"/>
      <c r="P793" s="43"/>
      <c r="Q793" s="43"/>
      <c r="R793" s="43"/>
      <c r="S793" s="60"/>
      <c r="T793" s="60"/>
      <c r="U793" s="43"/>
    </row>
    <row r="794" spans="1:21" ht="30" customHeight="1" x14ac:dyDescent="0.25">
      <c r="A794" s="290" t="s">
        <v>522</v>
      </c>
      <c r="B794" s="214" t="s">
        <v>872</v>
      </c>
      <c r="C794" s="214"/>
      <c r="D794" s="214"/>
      <c r="E794" s="291">
        <v>36000</v>
      </c>
      <c r="F794" s="292">
        <v>302</v>
      </c>
      <c r="G794" s="293"/>
      <c r="H794" s="294"/>
      <c r="I794" s="295" t="s">
        <v>524</v>
      </c>
      <c r="J794" s="296"/>
      <c r="K794" s="292">
        <f>+F794</f>
        <v>302</v>
      </c>
      <c r="L794" s="290" t="s">
        <v>9</v>
      </c>
      <c r="P794" s="43"/>
      <c r="Q794" s="43"/>
      <c r="R794" s="43"/>
      <c r="S794" s="60"/>
      <c r="T794" s="60"/>
      <c r="U794" s="43"/>
    </row>
    <row r="795" spans="1:21" s="41" customFormat="1" ht="30" customHeight="1" thickBot="1" x14ac:dyDescent="0.3">
      <c r="A795" s="20"/>
      <c r="B795" s="191"/>
      <c r="C795" s="191"/>
      <c r="D795" s="191"/>
      <c r="E795" s="297"/>
      <c r="F795" s="298"/>
      <c r="G795" s="298"/>
      <c r="H795" s="299"/>
      <c r="I795" s="18"/>
      <c r="J795" s="185" t="s">
        <v>358</v>
      </c>
      <c r="K795" s="301">
        <f>+K794</f>
        <v>302</v>
      </c>
      <c r="L795" s="20" t="s">
        <v>9</v>
      </c>
      <c r="M795" s="341"/>
      <c r="N795" s="342"/>
      <c r="O795" s="42"/>
    </row>
    <row r="796" spans="1:21" s="49" customFormat="1" ht="30" customHeight="1" thickBot="1" x14ac:dyDescent="0.3">
      <c r="A796" s="76"/>
      <c r="B796" s="77"/>
      <c r="C796" s="77"/>
      <c r="D796" s="77"/>
      <c r="E796" s="77"/>
      <c r="F796" s="77"/>
      <c r="G796" s="77"/>
      <c r="H796" s="77"/>
      <c r="I796" s="77"/>
      <c r="J796" s="77"/>
      <c r="K796" s="77"/>
      <c r="L796" s="78"/>
      <c r="M796" s="502"/>
      <c r="N796" s="502"/>
      <c r="O796" s="27"/>
    </row>
    <row r="797" spans="1:21" ht="30" customHeight="1" x14ac:dyDescent="0.25">
      <c r="A797" s="207" t="s">
        <v>288</v>
      </c>
      <c r="B797" s="208">
        <v>1721</v>
      </c>
      <c r="C797" s="282" t="s">
        <v>873</v>
      </c>
      <c r="D797" s="283"/>
      <c r="E797" s="177" t="s">
        <v>291</v>
      </c>
      <c r="F797" s="178" t="s">
        <v>9</v>
      </c>
      <c r="G797" s="123" t="s">
        <v>375</v>
      </c>
      <c r="H797" s="761">
        <v>17806</v>
      </c>
      <c r="I797" s="177" t="s">
        <v>292</v>
      </c>
      <c r="J797" s="38" t="s">
        <v>516</v>
      </c>
      <c r="K797" s="39"/>
      <c r="L797" s="40"/>
      <c r="M797" s="1932"/>
      <c r="N797" s="213"/>
    </row>
    <row r="798" spans="1:21" ht="30" customHeight="1" x14ac:dyDescent="0.25">
      <c r="A798" s="181" t="s">
        <v>517</v>
      </c>
      <c r="B798" s="180" t="s">
        <v>295</v>
      </c>
      <c r="C798" s="180"/>
      <c r="D798" s="180"/>
      <c r="E798" s="182" t="s">
        <v>518</v>
      </c>
      <c r="F798" s="285" t="s">
        <v>519</v>
      </c>
      <c r="G798" s="181"/>
      <c r="H798" s="181"/>
      <c r="I798" s="286" t="s">
        <v>520</v>
      </c>
      <c r="J798" s="287"/>
      <c r="K798" s="288" t="s">
        <v>521</v>
      </c>
      <c r="L798" s="289"/>
      <c r="P798" s="43"/>
      <c r="Q798" s="43"/>
      <c r="R798" s="43"/>
      <c r="S798" s="60"/>
      <c r="T798" s="60"/>
      <c r="U798" s="43"/>
    </row>
    <row r="799" spans="1:21" ht="30" customHeight="1" x14ac:dyDescent="0.25">
      <c r="A799" s="290" t="s">
        <v>522</v>
      </c>
      <c r="B799" s="214" t="s">
        <v>874</v>
      </c>
      <c r="C799" s="214"/>
      <c r="D799" s="214"/>
      <c r="E799" s="291">
        <v>43000</v>
      </c>
      <c r="F799" s="292">
        <v>380</v>
      </c>
      <c r="G799" s="293"/>
      <c r="H799" s="294"/>
      <c r="I799" s="295" t="s">
        <v>524</v>
      </c>
      <c r="J799" s="296"/>
      <c r="K799" s="292">
        <f>+F799</f>
        <v>380</v>
      </c>
      <c r="L799" s="290" t="s">
        <v>9</v>
      </c>
      <c r="P799" s="43"/>
      <c r="Q799" s="43"/>
      <c r="R799" s="43"/>
      <c r="S799" s="60"/>
      <c r="T799" s="60"/>
      <c r="U799" s="43"/>
    </row>
    <row r="800" spans="1:21" ht="30" customHeight="1" thickBot="1" x14ac:dyDescent="0.3">
      <c r="A800" s="20"/>
      <c r="B800" s="191"/>
      <c r="C800" s="191"/>
      <c r="D800" s="191"/>
      <c r="E800" s="297"/>
      <c r="F800" s="298"/>
      <c r="G800" s="298"/>
      <c r="H800" s="299"/>
      <c r="I800" s="18"/>
      <c r="J800" s="185" t="s">
        <v>358</v>
      </c>
      <c r="K800" s="301">
        <f>+K799</f>
        <v>380</v>
      </c>
      <c r="L800" s="20" t="s">
        <v>9</v>
      </c>
      <c r="P800" s="43"/>
      <c r="Q800" s="43"/>
      <c r="R800" s="43"/>
      <c r="S800" s="60"/>
      <c r="T800" s="60"/>
      <c r="U800" s="43"/>
    </row>
    <row r="801" spans="1:21" s="49" customFormat="1" ht="30" customHeight="1" thickBot="1" x14ac:dyDescent="0.3">
      <c r="A801" s="76"/>
      <c r="B801" s="77"/>
      <c r="C801" s="77"/>
      <c r="D801" s="77"/>
      <c r="E801" s="77"/>
      <c r="F801" s="77"/>
      <c r="G801" s="77"/>
      <c r="H801" s="77"/>
      <c r="I801" s="77"/>
      <c r="J801" s="77"/>
      <c r="K801" s="77"/>
      <c r="L801" s="78"/>
      <c r="M801" s="502"/>
      <c r="N801" s="502"/>
      <c r="O801" s="27"/>
    </row>
    <row r="802" spans="1:21" ht="30" customHeight="1" x14ac:dyDescent="0.25">
      <c r="A802" s="207" t="s">
        <v>288</v>
      </c>
      <c r="B802" s="765">
        <v>1722</v>
      </c>
      <c r="C802" s="282" t="s">
        <v>875</v>
      </c>
      <c r="D802" s="283"/>
      <c r="E802" s="177" t="s">
        <v>291</v>
      </c>
      <c r="F802" s="178" t="s">
        <v>9</v>
      </c>
      <c r="G802" s="123" t="s">
        <v>375</v>
      </c>
      <c r="H802" s="769">
        <v>7882</v>
      </c>
      <c r="I802" s="177" t="s">
        <v>292</v>
      </c>
      <c r="J802" s="38" t="s">
        <v>516</v>
      </c>
      <c r="K802" s="39"/>
      <c r="L802" s="40"/>
    </row>
    <row r="803" spans="1:21" ht="30" customHeight="1" x14ac:dyDescent="0.25">
      <c r="A803" s="181" t="s">
        <v>517</v>
      </c>
      <c r="B803" s="180" t="s">
        <v>295</v>
      </c>
      <c r="C803" s="180"/>
      <c r="D803" s="180"/>
      <c r="E803" s="182" t="s">
        <v>518</v>
      </c>
      <c r="F803" s="285" t="s">
        <v>519</v>
      </c>
      <c r="G803" s="181"/>
      <c r="H803" s="181"/>
      <c r="I803" s="286" t="s">
        <v>520</v>
      </c>
      <c r="J803" s="287"/>
      <c r="K803" s="288" t="s">
        <v>521</v>
      </c>
      <c r="L803" s="289"/>
      <c r="M803" s="1881"/>
      <c r="N803" s="1270"/>
      <c r="P803" s="43"/>
      <c r="Q803" s="43"/>
      <c r="R803" s="43"/>
      <c r="S803" s="60"/>
      <c r="T803" s="60"/>
      <c r="U803" s="43"/>
    </row>
    <row r="804" spans="1:21" ht="30" customHeight="1" x14ac:dyDescent="0.25">
      <c r="A804" s="290" t="s">
        <v>522</v>
      </c>
      <c r="B804" s="214" t="s">
        <v>876</v>
      </c>
      <c r="C804" s="214"/>
      <c r="D804" s="214"/>
      <c r="E804" s="291">
        <v>9200</v>
      </c>
      <c r="F804" s="292">
        <v>407</v>
      </c>
      <c r="G804" s="293"/>
      <c r="H804" s="294"/>
      <c r="I804" s="295" t="s">
        <v>524</v>
      </c>
      <c r="J804" s="296"/>
      <c r="K804" s="292">
        <f>+F804</f>
        <v>407</v>
      </c>
      <c r="L804" s="290" t="s">
        <v>9</v>
      </c>
      <c r="M804" s="1881"/>
      <c r="N804" s="1270"/>
      <c r="P804" s="43"/>
      <c r="Q804" s="43"/>
      <c r="R804" s="43"/>
      <c r="S804" s="60"/>
      <c r="T804" s="60"/>
      <c r="U804" s="43"/>
    </row>
    <row r="805" spans="1:21" s="41" customFormat="1" ht="30" customHeight="1" thickBot="1" x14ac:dyDescent="0.3">
      <c r="A805" s="20"/>
      <c r="B805" s="191"/>
      <c r="C805" s="191"/>
      <c r="D805" s="191"/>
      <c r="E805" s="297"/>
      <c r="F805" s="298"/>
      <c r="G805" s="298"/>
      <c r="H805" s="299"/>
      <c r="I805" s="18"/>
      <c r="J805" s="185" t="s">
        <v>358</v>
      </c>
      <c r="K805" s="301">
        <f>+K804</f>
        <v>407</v>
      </c>
      <c r="L805" s="20" t="s">
        <v>9</v>
      </c>
      <c r="M805" s="341"/>
      <c r="N805" s="342"/>
      <c r="O805" s="42"/>
    </row>
    <row r="806" spans="1:21" s="49" customFormat="1" ht="30" customHeight="1" thickBot="1" x14ac:dyDescent="0.3">
      <c r="A806" s="76"/>
      <c r="B806" s="77"/>
      <c r="C806" s="77"/>
      <c r="D806" s="77"/>
      <c r="E806" s="77"/>
      <c r="F806" s="77"/>
      <c r="G806" s="77"/>
      <c r="H806" s="77"/>
      <c r="I806" s="77"/>
      <c r="J806" s="77"/>
      <c r="K806" s="77"/>
      <c r="L806" s="78"/>
      <c r="M806" s="502"/>
      <c r="N806" s="502"/>
      <c r="O806" s="27"/>
    </row>
    <row r="807" spans="1:21" ht="30" customHeight="1" x14ac:dyDescent="0.25">
      <c r="A807" s="207" t="s">
        <v>288</v>
      </c>
      <c r="B807" s="208">
        <v>1723</v>
      </c>
      <c r="C807" s="282" t="s">
        <v>877</v>
      </c>
      <c r="D807" s="283"/>
      <c r="E807" s="177" t="s">
        <v>291</v>
      </c>
      <c r="F807" s="178" t="s">
        <v>9</v>
      </c>
      <c r="G807" s="123" t="s">
        <v>375</v>
      </c>
      <c r="H807" s="302">
        <v>845</v>
      </c>
      <c r="I807" s="177" t="s">
        <v>292</v>
      </c>
      <c r="J807" s="38" t="s">
        <v>878</v>
      </c>
      <c r="K807" s="39"/>
      <c r="L807" s="40"/>
      <c r="M807" s="1932"/>
      <c r="N807" s="213"/>
    </row>
    <row r="808" spans="1:21" ht="30" customHeight="1" x14ac:dyDescent="0.25">
      <c r="A808" s="181" t="s">
        <v>517</v>
      </c>
      <c r="B808" s="180" t="s">
        <v>295</v>
      </c>
      <c r="C808" s="180"/>
      <c r="D808" s="180"/>
      <c r="E808" s="285" t="s">
        <v>519</v>
      </c>
      <c r="F808" s="181" t="s">
        <v>518</v>
      </c>
      <c r="G808" s="598"/>
      <c r="H808" s="770"/>
      <c r="I808" s="286" t="s">
        <v>520</v>
      </c>
      <c r="J808" s="287"/>
      <c r="K808" s="493" t="s">
        <v>521</v>
      </c>
      <c r="L808" s="494"/>
      <c r="P808" s="43"/>
      <c r="Q808" s="43"/>
      <c r="R808" s="43"/>
      <c r="S808" s="60"/>
      <c r="T808" s="60"/>
      <c r="U808" s="43"/>
    </row>
    <row r="809" spans="1:21" ht="30" customHeight="1" x14ac:dyDescent="0.25">
      <c r="A809" s="20">
        <v>17123</v>
      </c>
      <c r="B809" s="402" t="s">
        <v>879</v>
      </c>
      <c r="C809" s="403"/>
      <c r="D809" s="404"/>
      <c r="E809" s="303">
        <v>376</v>
      </c>
      <c r="F809" s="291">
        <v>800</v>
      </c>
      <c r="G809" s="481"/>
      <c r="H809" s="517"/>
      <c r="I809" s="295">
        <f>+'MILCON Inflation Table'!F17</f>
        <v>0.9432470865927236</v>
      </c>
      <c r="J809" s="296"/>
      <c r="K809" s="304">
        <f>+E809*I809</f>
        <v>354.6609045588641</v>
      </c>
      <c r="L809" s="290" t="s">
        <v>9</v>
      </c>
      <c r="P809" s="43"/>
      <c r="Q809" s="43"/>
      <c r="R809" s="43"/>
      <c r="S809" s="60"/>
      <c r="T809" s="60"/>
      <c r="U809" s="43"/>
    </row>
    <row r="810" spans="1:21" s="41" customFormat="1" ht="30" customHeight="1" x14ac:dyDescent="0.25">
      <c r="A810" s="20">
        <v>17123</v>
      </c>
      <c r="B810" s="402" t="s">
        <v>880</v>
      </c>
      <c r="C810" s="403"/>
      <c r="D810" s="404"/>
      <c r="E810" s="303">
        <v>307</v>
      </c>
      <c r="F810" s="291">
        <v>1100</v>
      </c>
      <c r="G810" s="481"/>
      <c r="H810" s="517"/>
      <c r="I810" s="295">
        <f>+'MILCON Inflation Table'!F16</f>
        <v>0.96211202832457809</v>
      </c>
      <c r="J810" s="296"/>
      <c r="K810" s="304">
        <f>+E810*I810</f>
        <v>295.36839269564547</v>
      </c>
      <c r="L810" s="290" t="s">
        <v>9</v>
      </c>
      <c r="M810" s="341"/>
      <c r="N810" s="342"/>
      <c r="O810" s="42"/>
    </row>
    <row r="811" spans="1:21" s="49" customFormat="1" ht="30" customHeight="1" thickBot="1" x14ac:dyDescent="0.3">
      <c r="A811" s="20"/>
      <c r="B811" s="191"/>
      <c r="C811" s="191"/>
      <c r="D811" s="191"/>
      <c r="E811" s="586"/>
      <c r="F811" s="601"/>
      <c r="G811" s="18"/>
      <c r="H811" s="588" t="s">
        <v>536</v>
      </c>
      <c r="I811" s="18"/>
      <c r="J811" s="185" t="s">
        <v>358</v>
      </c>
      <c r="K811" s="305">
        <f>AVERAGE(K809:K810)</f>
        <v>325.01464862725481</v>
      </c>
      <c r="L811" s="20" t="s">
        <v>9</v>
      </c>
      <c r="M811" s="502"/>
      <c r="N811" s="502"/>
      <c r="O811" s="27"/>
    </row>
    <row r="812" spans="1:21" ht="30" customHeight="1" thickBot="1" x14ac:dyDescent="0.3">
      <c r="A812" s="76"/>
      <c r="B812" s="77"/>
      <c r="C812" s="77"/>
      <c r="D812" s="77"/>
      <c r="E812" s="77"/>
      <c r="F812" s="77"/>
      <c r="G812" s="77"/>
      <c r="H812" s="77"/>
      <c r="I812" s="77"/>
      <c r="J812" s="77"/>
      <c r="K812" s="77"/>
      <c r="L812" s="78"/>
      <c r="M812" s="43"/>
    </row>
    <row r="813" spans="1:21" ht="30" customHeight="1" x14ac:dyDescent="0.25">
      <c r="A813" s="207" t="s">
        <v>288</v>
      </c>
      <c r="B813" s="208">
        <v>1724</v>
      </c>
      <c r="C813" s="771" t="s">
        <v>881</v>
      </c>
      <c r="D813" s="772"/>
      <c r="E813" s="177" t="s">
        <v>291</v>
      </c>
      <c r="F813" s="178" t="s">
        <v>9</v>
      </c>
      <c r="G813" s="123" t="s">
        <v>375</v>
      </c>
      <c r="H813" s="769">
        <v>11331</v>
      </c>
      <c r="I813" s="177" t="s">
        <v>292</v>
      </c>
      <c r="J813" s="38" t="s">
        <v>516</v>
      </c>
      <c r="K813" s="39"/>
      <c r="L813" s="40"/>
      <c r="P813" s="43"/>
      <c r="Q813" s="43"/>
      <c r="R813" s="43"/>
      <c r="S813" s="60"/>
      <c r="T813" s="60"/>
      <c r="U813" s="43"/>
    </row>
    <row r="814" spans="1:21" ht="30" customHeight="1" x14ac:dyDescent="0.25">
      <c r="A814" s="181" t="s">
        <v>517</v>
      </c>
      <c r="B814" s="180" t="s">
        <v>295</v>
      </c>
      <c r="C814" s="180"/>
      <c r="D814" s="180"/>
      <c r="E814" s="182" t="s">
        <v>518</v>
      </c>
      <c r="F814" s="285" t="s">
        <v>519</v>
      </c>
      <c r="G814" s="181"/>
      <c r="H814" s="181"/>
      <c r="I814" s="286" t="s">
        <v>520</v>
      </c>
      <c r="J814" s="287"/>
      <c r="K814" s="288" t="s">
        <v>521</v>
      </c>
      <c r="L814" s="289"/>
      <c r="P814" s="43"/>
      <c r="Q814" s="43"/>
      <c r="R814" s="43"/>
      <c r="S814" s="60"/>
      <c r="T814" s="60"/>
      <c r="U814" s="43"/>
    </row>
    <row r="815" spans="1:21" s="41" customFormat="1" ht="30" customHeight="1" x14ac:dyDescent="0.25">
      <c r="A815" s="290" t="s">
        <v>522</v>
      </c>
      <c r="B815" s="214" t="s">
        <v>876</v>
      </c>
      <c r="C815" s="214"/>
      <c r="D815" s="214"/>
      <c r="E815" s="291">
        <v>9200</v>
      </c>
      <c r="F815" s="292">
        <v>407</v>
      </c>
      <c r="G815" s="293"/>
      <c r="H815" s="294"/>
      <c r="I815" s="295" t="s">
        <v>524</v>
      </c>
      <c r="J815" s="296"/>
      <c r="K815" s="292">
        <f>+F815</f>
        <v>407</v>
      </c>
      <c r="L815" s="290" t="s">
        <v>9</v>
      </c>
      <c r="M815" s="341"/>
      <c r="N815" s="342"/>
      <c r="O815" s="42"/>
    </row>
    <row r="816" spans="1:21" s="49" customFormat="1" ht="30" customHeight="1" thickBot="1" x14ac:dyDescent="0.3">
      <c r="A816" s="20"/>
      <c r="B816" s="191"/>
      <c r="C816" s="191"/>
      <c r="D816" s="191"/>
      <c r="E816" s="297"/>
      <c r="F816" s="298"/>
      <c r="G816" s="298"/>
      <c r="H816" s="299"/>
      <c r="I816" s="18"/>
      <c r="J816" s="185" t="s">
        <v>358</v>
      </c>
      <c r="K816" s="301">
        <f>+K815</f>
        <v>407</v>
      </c>
      <c r="L816" s="20" t="s">
        <v>9</v>
      </c>
      <c r="M816" s="502"/>
      <c r="N816" s="502"/>
      <c r="O816" s="27"/>
    </row>
    <row r="817" spans="1:21" ht="30" customHeight="1" thickBot="1" x14ac:dyDescent="0.3">
      <c r="A817" s="76"/>
      <c r="B817" s="77"/>
      <c r="C817" s="77"/>
      <c r="D817" s="77"/>
      <c r="E817" s="77"/>
      <c r="F817" s="77"/>
      <c r="G817" s="77"/>
      <c r="H817" s="77"/>
      <c r="I817" s="77"/>
      <c r="J817" s="77"/>
      <c r="K817" s="77"/>
      <c r="L817" s="78"/>
      <c r="M817" s="1954"/>
      <c r="N817" s="213"/>
    </row>
    <row r="818" spans="1:21" ht="30" customHeight="1" x14ac:dyDescent="0.25">
      <c r="A818" s="207" t="s">
        <v>288</v>
      </c>
      <c r="B818" s="208">
        <v>1725</v>
      </c>
      <c r="C818" s="387" t="s">
        <v>882</v>
      </c>
      <c r="D818" s="773"/>
      <c r="E818" s="177" t="s">
        <v>291</v>
      </c>
      <c r="F818" s="178" t="s">
        <v>11</v>
      </c>
      <c r="G818" s="465" t="s">
        <v>290</v>
      </c>
      <c r="H818" s="179">
        <v>1</v>
      </c>
      <c r="I818" s="177" t="s">
        <v>292</v>
      </c>
      <c r="J818" s="747" t="s">
        <v>883</v>
      </c>
      <c r="K818" s="747"/>
      <c r="L818" s="748"/>
      <c r="P818" s="43"/>
      <c r="Q818" s="43"/>
      <c r="R818" s="43"/>
      <c r="S818" s="60"/>
      <c r="T818" s="60"/>
      <c r="U818" s="43"/>
    </row>
    <row r="819" spans="1:21" ht="30" customHeight="1" x14ac:dyDescent="0.25">
      <c r="A819" s="185" t="s">
        <v>529</v>
      </c>
      <c r="B819" s="394" t="s">
        <v>560</v>
      </c>
      <c r="C819" s="395"/>
      <c r="D819" s="396"/>
      <c r="E819" s="397" t="s">
        <v>519</v>
      </c>
      <c r="F819" s="397" t="s">
        <v>561</v>
      </c>
      <c r="G819" s="398" t="s">
        <v>562</v>
      </c>
      <c r="H819" s="399"/>
      <c r="I819" s="181" t="s">
        <v>530</v>
      </c>
      <c r="J819" s="181"/>
      <c r="K819" s="288" t="s">
        <v>521</v>
      </c>
      <c r="L819" s="289"/>
      <c r="P819" s="43"/>
      <c r="Q819" s="43"/>
      <c r="R819" s="43"/>
      <c r="S819" s="60"/>
      <c r="T819" s="60"/>
      <c r="U819" s="43"/>
    </row>
    <row r="820" spans="1:21" s="41" customFormat="1" ht="30" customHeight="1" x14ac:dyDescent="0.25">
      <c r="A820" s="20"/>
      <c r="B820" s="402" t="s">
        <v>884</v>
      </c>
      <c r="C820" s="403"/>
      <c r="D820" s="404"/>
      <c r="E820" s="397"/>
      <c r="F820" s="397"/>
      <c r="G820" s="774"/>
      <c r="H820" s="775"/>
      <c r="I820" s="599"/>
      <c r="J820" s="599"/>
      <c r="K820" s="397"/>
      <c r="L820" s="397"/>
      <c r="M820" s="341"/>
      <c r="N820" s="342"/>
      <c r="O820" s="42"/>
    </row>
    <row r="821" spans="1:21" s="49" customFormat="1" ht="30" customHeight="1" x14ac:dyDescent="0.25">
      <c r="A821" s="20" t="s">
        <v>885</v>
      </c>
      <c r="B821" s="503" t="s">
        <v>886</v>
      </c>
      <c r="C821" s="504"/>
      <c r="D821" s="505"/>
      <c r="E821" s="776">
        <v>165</v>
      </c>
      <c r="F821" s="22" t="s">
        <v>9</v>
      </c>
      <c r="G821" s="777">
        <f>1250*10.764</f>
        <v>13455</v>
      </c>
      <c r="H821" s="649" t="s">
        <v>887</v>
      </c>
      <c r="I821" s="20">
        <v>1.04</v>
      </c>
      <c r="J821" s="20"/>
      <c r="K821" s="776">
        <f>+E821*G821*I821</f>
        <v>2308878</v>
      </c>
      <c r="L821" s="22" t="s">
        <v>11</v>
      </c>
      <c r="M821" s="502"/>
      <c r="N821" s="502"/>
      <c r="O821" s="27"/>
    </row>
    <row r="822" spans="1:21" ht="30" customHeight="1" x14ac:dyDescent="0.25">
      <c r="A822" s="20" t="s">
        <v>888</v>
      </c>
      <c r="B822" s="503" t="s">
        <v>692</v>
      </c>
      <c r="C822" s="504"/>
      <c r="D822" s="505"/>
      <c r="E822" s="776">
        <v>3.48</v>
      </c>
      <c r="F822" s="22" t="s">
        <v>9</v>
      </c>
      <c r="G822" s="777">
        <f>1250*10.764</f>
        <v>13455</v>
      </c>
      <c r="H822" s="649" t="s">
        <v>887</v>
      </c>
      <c r="I822" s="20">
        <v>1.04</v>
      </c>
      <c r="J822" s="20"/>
      <c r="K822" s="776">
        <f>+E822*G822*I822</f>
        <v>48696.336000000003</v>
      </c>
      <c r="L822" s="22" t="s">
        <v>11</v>
      </c>
      <c r="M822" s="1932"/>
      <c r="N822" s="213"/>
    </row>
    <row r="823" spans="1:21" ht="30" customHeight="1" x14ac:dyDescent="0.25">
      <c r="A823" s="778"/>
      <c r="B823" s="186"/>
      <c r="C823" s="186"/>
      <c r="D823" s="186"/>
      <c r="E823" s="405"/>
      <c r="F823" s="20"/>
      <c r="G823" s="779"/>
      <c r="H823" s="22"/>
      <c r="I823" s="20"/>
      <c r="J823" s="20" t="s">
        <v>646</v>
      </c>
      <c r="K823" s="780">
        <f>SUM(K821:K822)</f>
        <v>2357574.3360000001</v>
      </c>
      <c r="L823" s="20" t="s">
        <v>11</v>
      </c>
      <c r="P823" s="43"/>
      <c r="Q823" s="43"/>
      <c r="R823" s="43"/>
      <c r="S823" s="60"/>
      <c r="T823" s="60"/>
      <c r="U823" s="43"/>
    </row>
    <row r="824" spans="1:21" ht="30" customHeight="1" x14ac:dyDescent="0.25">
      <c r="A824" s="20"/>
      <c r="B824" s="410"/>
      <c r="C824" s="410"/>
      <c r="D824" s="755" t="s">
        <v>889</v>
      </c>
      <c r="E824" s="405"/>
      <c r="F824" s="338" t="s">
        <v>533</v>
      </c>
      <c r="G824" s="339" t="s">
        <v>534</v>
      </c>
      <c r="H824" s="339"/>
      <c r="I824" s="339"/>
      <c r="J824" s="339"/>
      <c r="K824" s="340">
        <v>1.07</v>
      </c>
      <c r="L824" s="10"/>
      <c r="P824" s="43"/>
      <c r="Q824" s="43"/>
      <c r="R824" s="43"/>
      <c r="S824" s="60"/>
      <c r="T824" s="60"/>
      <c r="U824" s="43"/>
    </row>
    <row r="825" spans="1:21" s="41" customFormat="1" ht="30" customHeight="1" x14ac:dyDescent="0.25">
      <c r="A825" s="20"/>
      <c r="B825" s="410"/>
      <c r="C825" s="410"/>
      <c r="D825" s="410"/>
      <c r="E825" s="405"/>
      <c r="F825" s="343"/>
      <c r="G825" s="344" t="s">
        <v>535</v>
      </c>
      <c r="H825" s="344"/>
      <c r="I825" s="344"/>
      <c r="J825" s="344"/>
      <c r="K825" s="340">
        <v>1.02</v>
      </c>
      <c r="L825" s="10"/>
      <c r="M825" s="341"/>
      <c r="N825" s="342"/>
      <c r="O825" s="42"/>
    </row>
    <row r="826" spans="1:21" s="49" customFormat="1" ht="30" customHeight="1" x14ac:dyDescent="0.25">
      <c r="A826" s="20"/>
      <c r="B826" s="20"/>
      <c r="C826" s="18"/>
      <c r="E826" s="18"/>
      <c r="F826" s="18"/>
      <c r="G826" s="18"/>
      <c r="H826" s="18"/>
      <c r="I826" s="18"/>
      <c r="J826" s="20" t="s">
        <v>358</v>
      </c>
      <c r="K826" s="781">
        <f>+K823*K824/K825</f>
        <v>2473141.7054117648</v>
      </c>
      <c r="L826" s="20" t="s">
        <v>11</v>
      </c>
      <c r="M826" s="502"/>
      <c r="N826" s="1894"/>
      <c r="O826" s="27"/>
    </row>
    <row r="827" spans="1:21" ht="30" customHeight="1" thickBot="1" x14ac:dyDescent="0.3">
      <c r="A827" s="20"/>
      <c r="B827" s="20"/>
      <c r="C827" s="18"/>
      <c r="D827" s="18"/>
      <c r="E827" s="18"/>
      <c r="F827" s="18"/>
      <c r="G827" s="413" t="s">
        <v>537</v>
      </c>
      <c r="H827" s="18"/>
      <c r="I827" s="18"/>
      <c r="J827" s="361">
        <f>VLOOKUP(B818,'Mil Cost Premiums for RUCs'!$A$4:$R$265,18,FALSE)</f>
        <v>1.1379589900046172</v>
      </c>
      <c r="K827" s="23">
        <f>+K826*J827</f>
        <v>2814333.8372286684</v>
      </c>
      <c r="L827" s="20" t="s">
        <v>11</v>
      </c>
      <c r="M827" s="654"/>
    </row>
    <row r="828" spans="1:21" ht="30" customHeight="1" thickBot="1" x14ac:dyDescent="0.3">
      <c r="A828" s="76"/>
      <c r="B828" s="77"/>
      <c r="C828" s="77"/>
      <c r="D828" s="77"/>
      <c r="E828" s="77"/>
      <c r="F828" s="77"/>
      <c r="G828" s="77"/>
      <c r="H828" s="77"/>
      <c r="I828" s="77"/>
      <c r="J828" s="77"/>
      <c r="K828" s="77"/>
      <c r="L828" s="78"/>
      <c r="M828" s="1954"/>
      <c r="N828" s="213"/>
    </row>
    <row r="829" spans="1:21" ht="30" customHeight="1" x14ac:dyDescent="0.25">
      <c r="A829" s="207" t="s">
        <v>288</v>
      </c>
      <c r="B829" s="208">
        <v>1731</v>
      </c>
      <c r="C829" s="282" t="s">
        <v>890</v>
      </c>
      <c r="D829" s="283"/>
      <c r="E829" s="177" t="s">
        <v>291</v>
      </c>
      <c r="F829" s="178" t="s">
        <v>9</v>
      </c>
      <c r="G829" s="123" t="s">
        <v>375</v>
      </c>
      <c r="H829" s="769">
        <v>1434</v>
      </c>
      <c r="I829" s="177" t="s">
        <v>292</v>
      </c>
      <c r="J829" s="38" t="s">
        <v>863</v>
      </c>
      <c r="K829" s="39"/>
      <c r="L829" s="40"/>
      <c r="P829" s="43"/>
      <c r="Q829" s="43"/>
      <c r="R829" s="43"/>
      <c r="S829" s="60"/>
      <c r="T829" s="60"/>
      <c r="U829" s="43"/>
    </row>
    <row r="830" spans="1:21" ht="30" customHeight="1" x14ac:dyDescent="0.25">
      <c r="A830" s="181" t="s">
        <v>517</v>
      </c>
      <c r="B830" s="180" t="s">
        <v>295</v>
      </c>
      <c r="C830" s="180"/>
      <c r="D830" s="180"/>
      <c r="E830" s="285" t="s">
        <v>519</v>
      </c>
      <c r="F830" s="181" t="s">
        <v>518</v>
      </c>
      <c r="G830" s="665" t="s">
        <v>562</v>
      </c>
      <c r="H830" s="666"/>
      <c r="I830" s="286" t="s">
        <v>520</v>
      </c>
      <c r="J830" s="287"/>
      <c r="K830" s="288" t="s">
        <v>521</v>
      </c>
      <c r="L830" s="289"/>
      <c r="P830" s="43"/>
      <c r="Q830" s="43"/>
      <c r="R830" s="43"/>
      <c r="S830" s="60"/>
      <c r="T830" s="60"/>
      <c r="U830" s="43"/>
    </row>
    <row r="831" spans="1:21" s="41" customFormat="1" ht="30" customHeight="1" x14ac:dyDescent="0.25">
      <c r="A831" s="20">
        <v>17122</v>
      </c>
      <c r="B831" s="503" t="s">
        <v>891</v>
      </c>
      <c r="C831" s="504"/>
      <c r="D831" s="505"/>
      <c r="E831" s="405">
        <v>777</v>
      </c>
      <c r="F831" s="729">
        <v>185</v>
      </c>
      <c r="G831" s="680"/>
      <c r="H831" s="680"/>
      <c r="I831" s="295">
        <f>+'MILCON Inflation Table'!$F$17</f>
        <v>0.9432470865927236</v>
      </c>
      <c r="J831" s="296"/>
      <c r="K831" s="304">
        <f>+E831*I831</f>
        <v>732.90298628254629</v>
      </c>
      <c r="L831" s="290" t="s">
        <v>9</v>
      </c>
      <c r="M831" s="341"/>
      <c r="N831" s="342"/>
      <c r="O831" s="42"/>
    </row>
    <row r="832" spans="1:21" s="49" customFormat="1" ht="30" customHeight="1" x14ac:dyDescent="0.25">
      <c r="A832" s="20">
        <v>17122</v>
      </c>
      <c r="B832" s="503" t="s">
        <v>892</v>
      </c>
      <c r="C832" s="504"/>
      <c r="D832" s="505"/>
      <c r="E832" s="405">
        <v>431</v>
      </c>
      <c r="F832" s="729">
        <v>800</v>
      </c>
      <c r="G832" s="680"/>
      <c r="H832" s="680"/>
      <c r="I832" s="295">
        <f>+'MILCON Inflation Table'!$F$17</f>
        <v>0.9432470865927236</v>
      </c>
      <c r="J832" s="296"/>
      <c r="K832" s="304">
        <f>+E832*I832</f>
        <v>406.53949432146385</v>
      </c>
      <c r="L832" s="290" t="s">
        <v>9</v>
      </c>
      <c r="M832" s="502"/>
      <c r="N832" s="502"/>
      <c r="O832" s="27"/>
    </row>
    <row r="833" spans="1:21" ht="30" customHeight="1" x14ac:dyDescent="0.25">
      <c r="A833" s="20">
        <v>17123</v>
      </c>
      <c r="B833" s="503" t="s">
        <v>893</v>
      </c>
      <c r="C833" s="504"/>
      <c r="D833" s="505"/>
      <c r="E833" s="405">
        <v>376</v>
      </c>
      <c r="F833" s="729">
        <v>800</v>
      </c>
      <c r="G833" s="680"/>
      <c r="H833" s="680"/>
      <c r="I833" s="295">
        <f>+'MILCON Inflation Table'!$F$17</f>
        <v>0.9432470865927236</v>
      </c>
      <c r="J833" s="296"/>
      <c r="K833" s="304">
        <f>+E833*I833</f>
        <v>354.6609045588641</v>
      </c>
      <c r="L833" s="290" t="s">
        <v>9</v>
      </c>
      <c r="M833" s="1932"/>
      <c r="N833" s="213"/>
    </row>
    <row r="834" spans="1:21" ht="30" customHeight="1" x14ac:dyDescent="0.25">
      <c r="A834" s="20">
        <v>17123</v>
      </c>
      <c r="B834" s="402" t="s">
        <v>894</v>
      </c>
      <c r="C834" s="403"/>
      <c r="D834" s="404"/>
      <c r="E834" s="405">
        <v>307</v>
      </c>
      <c r="F834" s="729">
        <v>1100</v>
      </c>
      <c r="G834" s="293"/>
      <c r="H834" s="293"/>
      <c r="I834" s="295">
        <f>+'MILCON Inflation Table'!$F$16</f>
        <v>0.96211202832457809</v>
      </c>
      <c r="J834" s="296"/>
      <c r="K834" s="304">
        <f>+E834*I834</f>
        <v>295.36839269564547</v>
      </c>
      <c r="L834" s="290" t="s">
        <v>9</v>
      </c>
      <c r="P834" s="43"/>
      <c r="Q834" s="43"/>
      <c r="R834" s="43"/>
      <c r="S834" s="60"/>
      <c r="T834" s="60"/>
      <c r="U834" s="43"/>
    </row>
    <row r="835" spans="1:21" ht="30" customHeight="1" x14ac:dyDescent="0.25">
      <c r="A835" s="20">
        <v>17139</v>
      </c>
      <c r="B835" s="402" t="s">
        <v>895</v>
      </c>
      <c r="C835" s="403"/>
      <c r="D835" s="404"/>
      <c r="E835" s="405">
        <v>182</v>
      </c>
      <c r="F835" s="729">
        <v>800</v>
      </c>
      <c r="G835" s="293"/>
      <c r="H835" s="293"/>
      <c r="I835" s="295">
        <f>+'MILCON Inflation Table'!$F$17</f>
        <v>0.9432470865927236</v>
      </c>
      <c r="J835" s="296"/>
      <c r="K835" s="304">
        <f>+E835*I835</f>
        <v>171.6709697598757</v>
      </c>
      <c r="L835" s="290" t="s">
        <v>9</v>
      </c>
      <c r="P835" s="43"/>
      <c r="Q835" s="43"/>
      <c r="R835" s="43"/>
      <c r="S835" s="60"/>
      <c r="T835" s="60"/>
      <c r="U835" s="43"/>
    </row>
    <row r="836" spans="1:21" ht="30" customHeight="1" thickBot="1" x14ac:dyDescent="0.3">
      <c r="A836" s="20"/>
      <c r="B836" s="250"/>
      <c r="C836" s="465"/>
      <c r="D836" s="465"/>
      <c r="E836" s="465"/>
      <c r="F836" s="763"/>
      <c r="G836" s="465"/>
      <c r="H836" s="764"/>
      <c r="I836" s="18"/>
      <c r="J836" s="185" t="s">
        <v>358</v>
      </c>
      <c r="K836" s="305">
        <f>AVERAGE(K831:K835)</f>
        <v>392.22854952367913</v>
      </c>
      <c r="L836" s="20" t="s">
        <v>9</v>
      </c>
      <c r="M836" s="419"/>
      <c r="N836" s="420"/>
      <c r="O836"/>
      <c r="P836" s="412"/>
      <c r="Q836" s="391"/>
      <c r="R836" s="393"/>
    </row>
    <row r="837" spans="1:21" s="49" customFormat="1" ht="30" customHeight="1" thickBot="1" x14ac:dyDescent="0.3">
      <c r="A837" s="76"/>
      <c r="B837" s="77"/>
      <c r="C837" s="77"/>
      <c r="D837" s="77"/>
      <c r="E837" s="77"/>
      <c r="F837" s="77"/>
      <c r="G837" s="77"/>
      <c r="H837" s="77"/>
      <c r="I837" s="77"/>
      <c r="J837" s="77"/>
      <c r="K837" s="77"/>
      <c r="L837" s="78"/>
      <c r="M837" s="425"/>
      <c r="N837" s="420"/>
      <c r="P837" s="412"/>
      <c r="Q837" s="391"/>
      <c r="R837" s="393"/>
    </row>
    <row r="838" spans="1:21" ht="30" customHeight="1" x14ac:dyDescent="0.25">
      <c r="A838" s="207" t="s">
        <v>288</v>
      </c>
      <c r="B838" s="208">
        <v>1732</v>
      </c>
      <c r="C838" s="282" t="s">
        <v>896</v>
      </c>
      <c r="D838" s="283"/>
      <c r="E838" s="177" t="s">
        <v>291</v>
      </c>
      <c r="F838" s="178" t="s">
        <v>9</v>
      </c>
      <c r="G838" s="123" t="s">
        <v>375</v>
      </c>
      <c r="H838" s="762">
        <v>7911</v>
      </c>
      <c r="I838" s="177" t="s">
        <v>292</v>
      </c>
      <c r="J838" s="38" t="s">
        <v>863</v>
      </c>
      <c r="K838" s="39"/>
      <c r="L838" s="40"/>
      <c r="M838" s="419"/>
      <c r="N838" s="420"/>
      <c r="O838"/>
      <c r="P838" s="412"/>
      <c r="Q838" s="391"/>
      <c r="R838" s="393"/>
    </row>
    <row r="839" spans="1:21" ht="30" customHeight="1" x14ac:dyDescent="0.25">
      <c r="A839" s="181" t="s">
        <v>517</v>
      </c>
      <c r="B839" s="180" t="s">
        <v>295</v>
      </c>
      <c r="C839" s="180"/>
      <c r="D839" s="180"/>
      <c r="E839" s="285" t="s">
        <v>519</v>
      </c>
      <c r="F839" s="181" t="s">
        <v>518</v>
      </c>
      <c r="G839" s="665" t="s">
        <v>562</v>
      </c>
      <c r="H839" s="666"/>
      <c r="I839" s="286" t="s">
        <v>520</v>
      </c>
      <c r="J839" s="287"/>
      <c r="K839" s="288" t="s">
        <v>521</v>
      </c>
      <c r="L839" s="289"/>
      <c r="M839" s="419"/>
      <c r="N839" s="420"/>
      <c r="O839"/>
      <c r="P839" s="412"/>
      <c r="Q839" s="391"/>
      <c r="R839" s="393"/>
    </row>
    <row r="840" spans="1:21" ht="30" customHeight="1" x14ac:dyDescent="0.25">
      <c r="A840" s="20">
        <v>14129</v>
      </c>
      <c r="B840" s="503" t="s">
        <v>897</v>
      </c>
      <c r="C840" s="504"/>
      <c r="D840" s="505"/>
      <c r="E840" s="405">
        <v>247</v>
      </c>
      <c r="F840" s="729">
        <v>120000</v>
      </c>
      <c r="G840" s="293"/>
      <c r="H840" s="293"/>
      <c r="I840" s="295">
        <f>+'MILCON Inflation Table'!F17</f>
        <v>0.9432470865927236</v>
      </c>
      <c r="J840" s="296"/>
      <c r="K840" s="304">
        <f>+E840*I840</f>
        <v>232.98203038840273</v>
      </c>
      <c r="L840" s="290" t="s">
        <v>9</v>
      </c>
      <c r="M840" s="419"/>
      <c r="N840" s="420"/>
      <c r="O840"/>
      <c r="P840" s="412"/>
      <c r="Q840" s="391"/>
      <c r="R840" s="393"/>
    </row>
    <row r="841" spans="1:21" ht="30" customHeight="1" thickBot="1" x14ac:dyDescent="0.3">
      <c r="A841" s="20"/>
      <c r="B841" s="250"/>
      <c r="C841" s="465"/>
      <c r="D841" s="465"/>
      <c r="E841" s="465"/>
      <c r="F841" s="763"/>
      <c r="G841" s="465"/>
      <c r="H841" s="764"/>
      <c r="I841" s="18"/>
      <c r="J841" s="185" t="s">
        <v>358</v>
      </c>
      <c r="K841" s="305">
        <f>+K840</f>
        <v>232.98203038840273</v>
      </c>
      <c r="L841" s="20" t="s">
        <v>9</v>
      </c>
      <c r="M841" s="419"/>
      <c r="N841" s="420"/>
      <c r="O841"/>
      <c r="P841" s="412"/>
      <c r="Q841" s="391"/>
      <c r="R841" s="393"/>
    </row>
    <row r="842" spans="1:21" ht="30" customHeight="1" thickBot="1" x14ac:dyDescent="0.3">
      <c r="A842" s="76"/>
      <c r="B842" s="77"/>
      <c r="C842" s="77"/>
      <c r="D842" s="77"/>
      <c r="E842" s="77"/>
      <c r="F842" s="77"/>
      <c r="G842" s="77"/>
      <c r="H842" s="77"/>
      <c r="I842" s="77"/>
      <c r="J842" s="77"/>
      <c r="K842" s="77"/>
      <c r="L842" s="78"/>
      <c r="M842" s="670"/>
      <c r="N842" s="671"/>
      <c r="O842" s="43"/>
      <c r="P842" s="672"/>
      <c r="Q842" s="671"/>
      <c r="R842" s="673"/>
    </row>
    <row r="843" spans="1:21" ht="30" customHeight="1" x14ac:dyDescent="0.25">
      <c r="A843" s="207" t="s">
        <v>288</v>
      </c>
      <c r="B843" s="208">
        <v>1733</v>
      </c>
      <c r="C843" s="282" t="s">
        <v>898</v>
      </c>
      <c r="D843" s="283"/>
      <c r="E843" s="177" t="s">
        <v>291</v>
      </c>
      <c r="F843" s="178" t="s">
        <v>9</v>
      </c>
      <c r="G843" s="123" t="s">
        <v>375</v>
      </c>
      <c r="H843" s="762">
        <v>1471</v>
      </c>
      <c r="I843" s="177" t="s">
        <v>292</v>
      </c>
      <c r="J843" s="38" t="s">
        <v>863</v>
      </c>
      <c r="K843" s="39"/>
      <c r="L843" s="40"/>
      <c r="M843" s="670"/>
      <c r="N843" s="671"/>
      <c r="O843" s="43"/>
      <c r="P843" s="672"/>
      <c r="Q843" s="671"/>
      <c r="R843" s="673"/>
    </row>
    <row r="844" spans="1:21" ht="30" customHeight="1" x14ac:dyDescent="0.25">
      <c r="A844" s="181" t="s">
        <v>517</v>
      </c>
      <c r="B844" s="180" t="s">
        <v>295</v>
      </c>
      <c r="C844" s="180"/>
      <c r="D844" s="180"/>
      <c r="E844" s="285" t="s">
        <v>519</v>
      </c>
      <c r="F844" s="181" t="s">
        <v>518</v>
      </c>
      <c r="G844" s="665" t="s">
        <v>562</v>
      </c>
      <c r="H844" s="666"/>
      <c r="I844" s="286" t="s">
        <v>520</v>
      </c>
      <c r="J844" s="287"/>
      <c r="K844" s="288" t="s">
        <v>521</v>
      </c>
      <c r="L844" s="289"/>
      <c r="M844" s="419"/>
      <c r="N844" s="1895"/>
      <c r="O844"/>
      <c r="P844" s="412"/>
      <c r="Q844" s="391"/>
      <c r="R844" s="393"/>
    </row>
    <row r="845" spans="1:21" ht="30" customHeight="1" x14ac:dyDescent="0.25">
      <c r="A845" s="61">
        <v>75061</v>
      </c>
      <c r="B845" s="716" t="s">
        <v>899</v>
      </c>
      <c r="C845" s="717"/>
      <c r="D845" s="718"/>
      <c r="E845" s="496">
        <v>133957</v>
      </c>
      <c r="F845" s="1207">
        <v>1</v>
      </c>
      <c r="G845" s="782">
        <f>+H843</f>
        <v>1471</v>
      </c>
      <c r="H845" s="783" t="s">
        <v>900</v>
      </c>
      <c r="I845" s="295">
        <f>+'MILCON Inflation Table'!F17</f>
        <v>0.9432470865927236</v>
      </c>
      <c r="J845" s="296"/>
      <c r="K845" s="267">
        <f>+E845/G845*I845</f>
        <v>85.897042813529211</v>
      </c>
      <c r="L845" s="65" t="s">
        <v>9</v>
      </c>
      <c r="M845" s="1330"/>
      <c r="N845" s="1117"/>
      <c r="O845"/>
      <c r="P845" s="412"/>
      <c r="Q845" s="391"/>
      <c r="R845" s="393"/>
    </row>
    <row r="846" spans="1:21" ht="30" customHeight="1" x14ac:dyDescent="0.25">
      <c r="A846" s="61">
        <v>17139</v>
      </c>
      <c r="B846" s="402" t="s">
        <v>901</v>
      </c>
      <c r="C846" s="403"/>
      <c r="D846" s="404"/>
      <c r="E846" s="496">
        <v>163</v>
      </c>
      <c r="F846" s="784">
        <v>1400</v>
      </c>
      <c r="G846" s="785"/>
      <c r="H846" s="785"/>
      <c r="I846" s="295">
        <f>+'MILCON Inflation Table'!F16</f>
        <v>0.96211202832457809</v>
      </c>
      <c r="J846" s="296"/>
      <c r="K846" s="267">
        <f>+E846*I846</f>
        <v>156.82426061690623</v>
      </c>
      <c r="L846" s="65" t="s">
        <v>9</v>
      </c>
      <c r="M846" s="419"/>
      <c r="N846" s="420"/>
      <c r="O846"/>
      <c r="P846" s="412"/>
      <c r="Q846" s="391"/>
      <c r="R846" s="393"/>
    </row>
    <row r="847" spans="1:21" s="41" customFormat="1" ht="30" customHeight="1" thickBot="1" x14ac:dyDescent="0.3">
      <c r="A847" s="61"/>
      <c r="B847" s="34"/>
      <c r="C847" s="163"/>
      <c r="D847" s="163"/>
      <c r="E847" s="163"/>
      <c r="F847" s="786"/>
      <c r="G847" s="163"/>
      <c r="H847" s="720" t="s">
        <v>536</v>
      </c>
      <c r="I847" s="63"/>
      <c r="J847" s="48" t="s">
        <v>358</v>
      </c>
      <c r="K847" s="222">
        <f>AVERAGE(K845:K846)</f>
        <v>121.36065171521773</v>
      </c>
      <c r="L847" s="61" t="s">
        <v>9</v>
      </c>
      <c r="M847" s="341"/>
      <c r="N847" s="342"/>
      <c r="O847" s="42"/>
    </row>
    <row r="848" spans="1:21" s="49" customFormat="1" ht="30" customHeight="1" thickBot="1" x14ac:dyDescent="0.3">
      <c r="A848" s="76"/>
      <c r="B848" s="77"/>
      <c r="C848" s="77"/>
      <c r="D848" s="77"/>
      <c r="E848" s="77"/>
      <c r="F848" s="77"/>
      <c r="G848" s="77"/>
      <c r="H848" s="77"/>
      <c r="I848" s="77"/>
      <c r="J848" s="77"/>
      <c r="K848" s="77"/>
      <c r="L848" s="78"/>
      <c r="M848" s="502"/>
      <c r="N848" s="1894"/>
      <c r="O848" s="27"/>
    </row>
    <row r="849" spans="1:21" s="41" customFormat="1" ht="30" customHeight="1" x14ac:dyDescent="0.25">
      <c r="A849" s="30" t="s">
        <v>288</v>
      </c>
      <c r="B849" s="31">
        <v>1734</v>
      </c>
      <c r="C849" s="484" t="s">
        <v>902</v>
      </c>
      <c r="D849" s="485"/>
      <c r="E849" s="36" t="s">
        <v>291</v>
      </c>
      <c r="F849" s="37" t="s">
        <v>11</v>
      </c>
      <c r="G849" s="34" t="s">
        <v>290</v>
      </c>
      <c r="H849" s="721">
        <v>1</v>
      </c>
      <c r="I849" s="36" t="s">
        <v>292</v>
      </c>
      <c r="J849" s="38" t="s">
        <v>863</v>
      </c>
      <c r="K849" s="39"/>
      <c r="L849" s="40"/>
      <c r="M849" s="341"/>
      <c r="N849" s="342"/>
      <c r="O849" s="42"/>
    </row>
    <row r="850" spans="1:21" s="41" customFormat="1" ht="30" customHeight="1" x14ac:dyDescent="0.25">
      <c r="A850" s="44" t="s">
        <v>517</v>
      </c>
      <c r="B850" s="45" t="s">
        <v>295</v>
      </c>
      <c r="C850" s="45"/>
      <c r="D850" s="45"/>
      <c r="E850" s="715" t="s">
        <v>519</v>
      </c>
      <c r="F850" s="44" t="s">
        <v>518</v>
      </c>
      <c r="G850" s="787" t="s">
        <v>562</v>
      </c>
      <c r="H850" s="788"/>
      <c r="I850" s="286" t="s">
        <v>520</v>
      </c>
      <c r="J850" s="287"/>
      <c r="K850" s="722" t="s">
        <v>521</v>
      </c>
      <c r="L850" s="723"/>
      <c r="M850" s="341"/>
      <c r="N850" s="342"/>
      <c r="O850" s="42"/>
    </row>
    <row r="851" spans="1:21" s="41" customFormat="1" ht="30" customHeight="1" x14ac:dyDescent="0.25">
      <c r="A851" s="61">
        <v>17971</v>
      </c>
      <c r="B851" s="503" t="s">
        <v>903</v>
      </c>
      <c r="C851" s="504"/>
      <c r="D851" s="505"/>
      <c r="E851" s="405">
        <v>606194</v>
      </c>
      <c r="F851" s="729" t="s">
        <v>704</v>
      </c>
      <c r="G851" s="680"/>
      <c r="H851" s="680"/>
      <c r="I851" s="295">
        <f>+'MILCON Inflation Table'!F17</f>
        <v>0.9432470865927236</v>
      </c>
      <c r="J851" s="296"/>
      <c r="K851" s="304">
        <f>+E851*I851</f>
        <v>571790.72440998955</v>
      </c>
      <c r="L851" s="290" t="s">
        <v>11</v>
      </c>
      <c r="M851" s="341"/>
      <c r="N851" s="342"/>
      <c r="O851" s="42"/>
    </row>
    <row r="852" spans="1:21" ht="30" customHeight="1" thickBot="1" x14ac:dyDescent="0.3">
      <c r="A852" s="61"/>
      <c r="B852" s="34"/>
      <c r="C852" s="163"/>
      <c r="D852" s="163"/>
      <c r="E852" s="465"/>
      <c r="F852" s="763"/>
      <c r="G852" s="465"/>
      <c r="H852" s="764"/>
      <c r="I852" s="18"/>
      <c r="J852" s="185" t="s">
        <v>358</v>
      </c>
      <c r="K852" s="305">
        <f>AVERAGE(K851:K851)</f>
        <v>571790.72440998955</v>
      </c>
      <c r="L852" s="290" t="s">
        <v>11</v>
      </c>
      <c r="M852" s="1881"/>
      <c r="N852" s="1270"/>
    </row>
    <row r="853" spans="1:21" ht="30" customHeight="1" thickBot="1" x14ac:dyDescent="0.3">
      <c r="A853" s="76"/>
      <c r="B853" s="77"/>
      <c r="C853" s="77"/>
      <c r="D853" s="77"/>
      <c r="E853" s="77"/>
      <c r="F853" s="77"/>
      <c r="G853" s="77"/>
      <c r="H853" s="77"/>
      <c r="I853" s="77"/>
      <c r="J853" s="77"/>
      <c r="K853" s="77"/>
      <c r="L853" s="78"/>
      <c r="M853" s="789"/>
      <c r="N853" s="790"/>
    </row>
    <row r="854" spans="1:21" ht="30" customHeight="1" x14ac:dyDescent="0.25">
      <c r="A854" s="30" t="s">
        <v>288</v>
      </c>
      <c r="B854" s="31">
        <v>1745</v>
      </c>
      <c r="C854" s="161" t="s">
        <v>904</v>
      </c>
      <c r="D854" s="162"/>
      <c r="E854" s="177" t="s">
        <v>291</v>
      </c>
      <c r="F854" s="178" t="s">
        <v>35</v>
      </c>
      <c r="G854" s="123" t="s">
        <v>375</v>
      </c>
      <c r="H854" s="791">
        <v>30</v>
      </c>
      <c r="I854" s="177" t="s">
        <v>292</v>
      </c>
      <c r="J854" s="38" t="s">
        <v>905</v>
      </c>
      <c r="K854" s="38"/>
      <c r="L854" s="389"/>
      <c r="M854" s="1881"/>
      <c r="N854" s="1270"/>
      <c r="P854" s="43"/>
      <c r="Q854" s="43"/>
      <c r="R854" s="43"/>
      <c r="S854" s="60"/>
      <c r="T854" s="60"/>
      <c r="U854" s="43"/>
    </row>
    <row r="855" spans="1:21" ht="30" customHeight="1" x14ac:dyDescent="0.25">
      <c r="A855" s="48" t="s">
        <v>529</v>
      </c>
      <c r="B855" s="490" t="s">
        <v>560</v>
      </c>
      <c r="C855" s="491"/>
      <c r="D855" s="492"/>
      <c r="E855" s="397" t="s">
        <v>519</v>
      </c>
      <c r="F855" s="397" t="s">
        <v>561</v>
      </c>
      <c r="G855" s="398" t="s">
        <v>562</v>
      </c>
      <c r="H855" s="399"/>
      <c r="I855" s="181" t="s">
        <v>530</v>
      </c>
      <c r="J855" s="181"/>
      <c r="K855" s="288" t="s">
        <v>521</v>
      </c>
      <c r="L855" s="289"/>
      <c r="M855" s="1881"/>
      <c r="N855" s="1270"/>
      <c r="P855" s="43"/>
      <c r="Q855" s="43"/>
      <c r="R855" s="43"/>
      <c r="S855" s="60"/>
      <c r="T855" s="60"/>
      <c r="U855" s="43"/>
    </row>
    <row r="856" spans="1:21" s="41" customFormat="1" ht="30" customHeight="1" x14ac:dyDescent="0.25">
      <c r="A856" s="61" t="s">
        <v>906</v>
      </c>
      <c r="B856" s="236" t="s">
        <v>907</v>
      </c>
      <c r="C856" s="237"/>
      <c r="D856" s="238"/>
      <c r="E856" s="756">
        <v>0.27</v>
      </c>
      <c r="F856" s="22" t="s">
        <v>9</v>
      </c>
      <c r="G856" s="792">
        <v>43560</v>
      </c>
      <c r="H856" s="758" t="s">
        <v>908</v>
      </c>
      <c r="I856" s="20">
        <v>1.04</v>
      </c>
      <c r="J856" s="20"/>
      <c r="K856" s="776">
        <f>+E856*G856*I856</f>
        <v>12231.648000000001</v>
      </c>
      <c r="L856" s="22" t="s">
        <v>35</v>
      </c>
      <c r="M856" s="341"/>
      <c r="N856" s="342"/>
      <c r="O856" s="42"/>
    </row>
    <row r="857" spans="1:21" s="49" customFormat="1" ht="30" customHeight="1" x14ac:dyDescent="0.25">
      <c r="A857" s="61" t="s">
        <v>906</v>
      </c>
      <c r="B857" s="716" t="s">
        <v>909</v>
      </c>
      <c r="C857" s="717"/>
      <c r="D857" s="718"/>
      <c r="E857" s="760">
        <v>0.16</v>
      </c>
      <c r="F857" s="22" t="s">
        <v>9</v>
      </c>
      <c r="G857" s="792">
        <v>43560</v>
      </c>
      <c r="H857" s="758" t="s">
        <v>908</v>
      </c>
      <c r="I857" s="20">
        <v>1.04</v>
      </c>
      <c r="J857" s="20"/>
      <c r="K857" s="776">
        <f>+E857*G857*I857</f>
        <v>7248.3840000000009</v>
      </c>
      <c r="L857" s="22" t="s">
        <v>35</v>
      </c>
      <c r="M857" s="502"/>
      <c r="N857" s="502"/>
      <c r="O857" s="27"/>
    </row>
    <row r="858" spans="1:21" ht="30" customHeight="1" x14ac:dyDescent="0.25">
      <c r="A858" s="61" t="s">
        <v>906</v>
      </c>
      <c r="B858" s="236" t="s">
        <v>910</v>
      </c>
      <c r="C858" s="237"/>
      <c r="D858" s="238"/>
      <c r="E858" s="760">
        <v>0.49</v>
      </c>
      <c r="F858" s="22" t="s">
        <v>9</v>
      </c>
      <c r="G858" s="792">
        <v>43560</v>
      </c>
      <c r="H858" s="758" t="s">
        <v>908</v>
      </c>
      <c r="I858" s="20">
        <v>1.04</v>
      </c>
      <c r="J858" s="20"/>
      <c r="K858" s="776">
        <f>+E858*G858*I858</f>
        <v>22198.175999999999</v>
      </c>
      <c r="L858" s="22" t="s">
        <v>35</v>
      </c>
      <c r="M858" s="1881"/>
      <c r="N858" s="1270"/>
    </row>
    <row r="859" spans="1:21" ht="30" customHeight="1" x14ac:dyDescent="0.25">
      <c r="A859" s="63"/>
      <c r="B859" s="186"/>
      <c r="C859" s="186"/>
      <c r="D859" s="186"/>
      <c r="E859" s="405"/>
      <c r="F859" s="20"/>
      <c r="G859" s="20"/>
      <c r="H859" s="20"/>
      <c r="I859" s="20"/>
      <c r="J859" s="20" t="s">
        <v>646</v>
      </c>
      <c r="K859" s="780">
        <f>SUM(K856:K858)</f>
        <v>41678.207999999999</v>
      </c>
      <c r="L859" s="22" t="s">
        <v>35</v>
      </c>
      <c r="M859" s="1881"/>
      <c r="N859" s="1270"/>
      <c r="P859" s="43"/>
      <c r="Q859" s="43"/>
      <c r="R859" s="43"/>
      <c r="S859" s="60"/>
      <c r="T859" s="60"/>
      <c r="U859" s="43"/>
    </row>
    <row r="860" spans="1:21" ht="30" customHeight="1" x14ac:dyDescent="0.25">
      <c r="A860" s="61"/>
      <c r="B860" s="498"/>
      <c r="C860" s="498"/>
      <c r="D860" s="498"/>
      <c r="E860" s="405"/>
      <c r="F860" s="338" t="s">
        <v>533</v>
      </c>
      <c r="G860" s="339" t="s">
        <v>534</v>
      </c>
      <c r="H860" s="339"/>
      <c r="I860" s="339"/>
      <c r="J860" s="339"/>
      <c r="K860" s="340">
        <v>1.07</v>
      </c>
      <c r="L860" s="10"/>
      <c r="P860" s="43"/>
      <c r="Q860" s="43"/>
      <c r="R860" s="43"/>
      <c r="S860" s="60"/>
      <c r="T860" s="60"/>
      <c r="U860" s="43"/>
    </row>
    <row r="861" spans="1:21" s="41" customFormat="1" ht="30" customHeight="1" x14ac:dyDescent="0.25">
      <c r="A861" s="61"/>
      <c r="B861" s="498"/>
      <c r="C861" s="498"/>
      <c r="D861" s="498"/>
      <c r="E861" s="405"/>
      <c r="F861" s="343"/>
      <c r="G861" s="344" t="s">
        <v>535</v>
      </c>
      <c r="H861" s="344"/>
      <c r="I861" s="344"/>
      <c r="J861" s="344"/>
      <c r="K861" s="340">
        <v>1.02</v>
      </c>
      <c r="L861" s="10"/>
      <c r="M861" s="341"/>
      <c r="N861" s="342"/>
      <c r="O861" s="42"/>
    </row>
    <row r="862" spans="1:21" s="49" customFormat="1" ht="30" customHeight="1" x14ac:dyDescent="0.25">
      <c r="A862" s="63"/>
      <c r="B862" s="61"/>
      <c r="C862" s="63"/>
      <c r="D862" s="63"/>
      <c r="E862" s="18"/>
      <c r="F862" s="18"/>
      <c r="G862" s="18"/>
      <c r="H862" s="18"/>
      <c r="I862" s="18"/>
      <c r="J862" s="20" t="s">
        <v>358</v>
      </c>
      <c r="K862" s="23">
        <f>+K859*K860/K861</f>
        <v>43721.257411764709</v>
      </c>
      <c r="L862" s="22" t="s">
        <v>35</v>
      </c>
      <c r="M862" s="502"/>
      <c r="N862" s="1894"/>
      <c r="O862" s="27"/>
    </row>
    <row r="863" spans="1:21" ht="30" customHeight="1" thickBot="1" x14ac:dyDescent="0.3">
      <c r="A863" s="63"/>
      <c r="B863" s="61"/>
      <c r="C863" s="63"/>
      <c r="D863" s="63"/>
      <c r="E863" s="18"/>
      <c r="F863" s="18"/>
      <c r="G863" s="413" t="s">
        <v>537</v>
      </c>
      <c r="H863" s="18"/>
      <c r="I863" s="18"/>
      <c r="J863" s="361">
        <f>VLOOKUP(B854,'Mil Cost Premiums for RUCs'!$A$4:$R$265,18,FALSE)</f>
        <v>1.0209999999999999</v>
      </c>
      <c r="K863" s="23">
        <f>+K862*J863</f>
        <v>44639.403817411767</v>
      </c>
      <c r="L863" s="20" t="s">
        <v>35</v>
      </c>
      <c r="M863" s="1881"/>
      <c r="N863" s="1270"/>
    </row>
    <row r="864" spans="1:21" ht="30" customHeight="1" thickBot="1" x14ac:dyDescent="0.3">
      <c r="A864" s="76"/>
      <c r="B864" s="77"/>
      <c r="C864" s="77"/>
      <c r="D864" s="77"/>
      <c r="E864" s="77"/>
      <c r="F864" s="77"/>
      <c r="G864" s="77"/>
      <c r="H864" s="77"/>
      <c r="I864" s="77"/>
      <c r="J864" s="77"/>
      <c r="K864" s="77"/>
      <c r="L864" s="78"/>
      <c r="M864" s="1953"/>
      <c r="N864" s="50"/>
    </row>
    <row r="865" spans="1:21" ht="75" customHeight="1" x14ac:dyDescent="0.25">
      <c r="A865" s="207" t="s">
        <v>288</v>
      </c>
      <c r="B865" s="208">
        <v>1750</v>
      </c>
      <c r="C865" s="209" t="s">
        <v>911</v>
      </c>
      <c r="D865" s="210"/>
      <c r="E865" s="177" t="s">
        <v>291</v>
      </c>
      <c r="F865" s="178" t="s">
        <v>38</v>
      </c>
      <c r="G865" s="465" t="s">
        <v>912</v>
      </c>
      <c r="H865" s="388">
        <v>32</v>
      </c>
      <c r="I865" s="177" t="s">
        <v>292</v>
      </c>
      <c r="J865" s="38" t="s">
        <v>3398</v>
      </c>
      <c r="K865" s="38"/>
      <c r="L865" s="389"/>
      <c r="P865" s="43"/>
      <c r="Q865" s="43"/>
      <c r="R865" s="43"/>
      <c r="S865" s="60"/>
      <c r="T865" s="60"/>
      <c r="U865" s="43"/>
    </row>
    <row r="866" spans="1:21" ht="30" customHeight="1" x14ac:dyDescent="0.25">
      <c r="A866" s="44" t="s">
        <v>913</v>
      </c>
      <c r="B866" s="490" t="s">
        <v>560</v>
      </c>
      <c r="C866" s="491"/>
      <c r="D866" s="492"/>
      <c r="E866" s="793" t="s">
        <v>519</v>
      </c>
      <c r="F866" s="793" t="s">
        <v>561</v>
      </c>
      <c r="G866" s="626" t="s">
        <v>562</v>
      </c>
      <c r="H866" s="627"/>
      <c r="I866" s="400" t="s">
        <v>530</v>
      </c>
      <c r="J866" s="675" t="s">
        <v>533</v>
      </c>
      <c r="K866" s="507" t="s">
        <v>521</v>
      </c>
      <c r="L866" s="508"/>
      <c r="P866" s="43"/>
      <c r="Q866" s="43"/>
      <c r="R866" s="43"/>
      <c r="S866" s="60"/>
      <c r="T866" s="60"/>
      <c r="U866" s="43"/>
    </row>
    <row r="867" spans="1:21" s="41" customFormat="1" ht="30" customHeight="1" x14ac:dyDescent="0.25">
      <c r="A867" s="61" t="s">
        <v>849</v>
      </c>
      <c r="B867" s="402" t="s">
        <v>914</v>
      </c>
      <c r="C867" s="403"/>
      <c r="D867" s="404"/>
      <c r="E867" s="781">
        <f>+P886</f>
        <v>8.8450000000000006</v>
      </c>
      <c r="F867" s="20" t="s">
        <v>9</v>
      </c>
      <c r="G867" s="794">
        <f>7*62</f>
        <v>434</v>
      </c>
      <c r="H867" s="609" t="s">
        <v>915</v>
      </c>
      <c r="I867" s="409">
        <f>+R886</f>
        <v>1.04</v>
      </c>
      <c r="J867" s="409">
        <f>+S886</f>
        <v>1.0490196078431373</v>
      </c>
      <c r="K867" s="530">
        <f>+E867*G867*I867*J867</f>
        <v>4187.9791607843144</v>
      </c>
      <c r="L867" s="61" t="s">
        <v>38</v>
      </c>
      <c r="M867" s="1943"/>
      <c r="N867" s="1944"/>
      <c r="O867" s="42"/>
    </row>
    <row r="868" spans="1:21" s="49" customFormat="1" ht="30" customHeight="1" x14ac:dyDescent="0.25">
      <c r="A868" s="61" t="s">
        <v>916</v>
      </c>
      <c r="B868" s="402" t="s">
        <v>917</v>
      </c>
      <c r="C868" s="403"/>
      <c r="D868" s="404"/>
      <c r="E868" s="781">
        <f>+(339+540)/2</f>
        <v>439.5</v>
      </c>
      <c r="F868" s="730" t="s">
        <v>11</v>
      </c>
      <c r="G868" s="794">
        <v>7</v>
      </c>
      <c r="H868" s="609" t="s">
        <v>918</v>
      </c>
      <c r="I868" s="409">
        <f>+R890</f>
        <v>1.02</v>
      </c>
      <c r="J868" s="409">
        <f>+S890</f>
        <v>1.0490196078431373</v>
      </c>
      <c r="K868" s="530">
        <f>+E868*G868*I868*J868</f>
        <v>3291.8550000000005</v>
      </c>
      <c r="L868" s="61" t="s">
        <v>38</v>
      </c>
      <c r="M868" s="795"/>
      <c r="N868" s="796"/>
      <c r="O868" s="27"/>
    </row>
    <row r="869" spans="1:21" ht="30" customHeight="1" x14ac:dyDescent="0.25">
      <c r="A869" s="61" t="s">
        <v>916</v>
      </c>
      <c r="B869" s="402" t="s">
        <v>919</v>
      </c>
      <c r="C869" s="403"/>
      <c r="D869" s="404"/>
      <c r="E869" s="781">
        <f>P892</f>
        <v>316</v>
      </c>
      <c r="F869" s="730" t="s">
        <v>11</v>
      </c>
      <c r="G869" s="794">
        <v>7</v>
      </c>
      <c r="H869" s="609" t="s">
        <v>918</v>
      </c>
      <c r="I869" s="409">
        <f>+R892</f>
        <v>1.02</v>
      </c>
      <c r="J869" s="409">
        <f>+S892</f>
        <v>1.0490196078431373</v>
      </c>
      <c r="K869" s="530">
        <f>+E869*G869*I869*J869</f>
        <v>2366.84</v>
      </c>
      <c r="L869" s="61" t="s">
        <v>38</v>
      </c>
      <c r="M869" s="1945"/>
      <c r="N869" s="1946"/>
    </row>
    <row r="870" spans="1:21" ht="30" customHeight="1" x14ac:dyDescent="0.25">
      <c r="A870" s="61" t="s">
        <v>920</v>
      </c>
      <c r="B870" s="402" t="s">
        <v>921</v>
      </c>
      <c r="C870" s="403"/>
      <c r="D870" s="404"/>
      <c r="E870" s="781">
        <f>P895</f>
        <v>137.85</v>
      </c>
      <c r="F870" s="730" t="s">
        <v>11</v>
      </c>
      <c r="G870" s="794">
        <f>4*7</f>
        <v>28</v>
      </c>
      <c r="H870" s="609" t="s">
        <v>918</v>
      </c>
      <c r="I870" s="409">
        <f>+R895</f>
        <v>1.02</v>
      </c>
      <c r="J870" s="409">
        <f>+S895</f>
        <v>1.0490196078431373</v>
      </c>
      <c r="K870" s="530">
        <f>+E870*G870*I870*J870</f>
        <v>4129.9859999999999</v>
      </c>
      <c r="L870" s="61" t="s">
        <v>38</v>
      </c>
      <c r="M870" s="419"/>
      <c r="N870" s="420"/>
      <c r="O870"/>
      <c r="P870" s="412"/>
      <c r="Q870" s="391"/>
      <c r="R870" s="393"/>
    </row>
    <row r="871" spans="1:21" ht="30" customHeight="1" x14ac:dyDescent="0.25">
      <c r="A871" s="61" t="s">
        <v>922</v>
      </c>
      <c r="B871" s="236" t="s">
        <v>923</v>
      </c>
      <c r="C871" s="237"/>
      <c r="D871" s="238"/>
      <c r="E871" s="781">
        <f>P896</f>
        <v>17.110000000000003</v>
      </c>
      <c r="F871" s="644" t="s">
        <v>7</v>
      </c>
      <c r="G871" s="777">
        <v>2653</v>
      </c>
      <c r="H871" s="634" t="s">
        <v>924</v>
      </c>
      <c r="I871" s="409">
        <f>+R896</f>
        <v>1.02</v>
      </c>
      <c r="J871" s="409">
        <f>+S896</f>
        <v>1.0490196078431373</v>
      </c>
      <c r="K871" s="530">
        <f>+E871*G871*I871*J871</f>
        <v>48570.328100000013</v>
      </c>
      <c r="L871" s="61" t="s">
        <v>38</v>
      </c>
      <c r="M871" s="419"/>
      <c r="N871" s="420"/>
      <c r="O871"/>
      <c r="P871" s="412"/>
      <c r="Q871" s="391"/>
      <c r="R871" s="393"/>
    </row>
    <row r="872" spans="1:21" ht="30" customHeight="1" x14ac:dyDescent="0.25">
      <c r="A872" s="61" t="s">
        <v>574</v>
      </c>
      <c r="B872" s="236" t="s">
        <v>925</v>
      </c>
      <c r="C872" s="237"/>
      <c r="D872" s="238"/>
      <c r="E872" s="781">
        <f>+P900</f>
        <v>422.88</v>
      </c>
      <c r="F872" s="644" t="s">
        <v>11</v>
      </c>
      <c r="G872" s="794"/>
      <c r="H872" s="634"/>
      <c r="I872" s="409">
        <v>1.04</v>
      </c>
      <c r="J872" s="409">
        <f>+S885</f>
        <v>1.0490196078431373</v>
      </c>
      <c r="K872" s="530">
        <f>+E872*J872*I872</f>
        <v>461.35378823529413</v>
      </c>
      <c r="L872" s="61" t="s">
        <v>38</v>
      </c>
      <c r="M872" s="419"/>
      <c r="N872" s="420"/>
      <c r="O872"/>
      <c r="P872" s="412"/>
      <c r="Q872" s="391"/>
      <c r="R872" s="393"/>
    </row>
    <row r="873" spans="1:21" s="49" customFormat="1" ht="30" customHeight="1" x14ac:dyDescent="0.25">
      <c r="A873" s="20">
        <v>93410</v>
      </c>
      <c r="B873" s="236" t="s">
        <v>926</v>
      </c>
      <c r="C873" s="237"/>
      <c r="D873" s="238"/>
      <c r="E873" s="781">
        <f>+P905</f>
        <v>8</v>
      </c>
      <c r="F873" s="644" t="s">
        <v>307</v>
      </c>
      <c r="G873" s="837">
        <v>213.375</v>
      </c>
      <c r="H873" s="634" t="s">
        <v>927</v>
      </c>
      <c r="I873" s="798">
        <f>+R905</f>
        <v>0.9432470865927236</v>
      </c>
      <c r="J873" s="409"/>
      <c r="K873" s="530">
        <f>+E873*G873*I873</f>
        <v>1610.1227768137792</v>
      </c>
      <c r="L873" s="61" t="s">
        <v>38</v>
      </c>
      <c r="M873" s="425"/>
      <c r="N873" s="420"/>
      <c r="P873" s="412"/>
      <c r="Q873" s="391"/>
      <c r="R873" s="393"/>
    </row>
    <row r="874" spans="1:21" ht="30" customHeight="1" x14ac:dyDescent="0.25">
      <c r="A874" s="20">
        <v>93210</v>
      </c>
      <c r="B874" s="236" t="s">
        <v>928</v>
      </c>
      <c r="C874" s="237"/>
      <c r="D874" s="238"/>
      <c r="E874" s="781">
        <v>44.9</v>
      </c>
      <c r="F874" s="644" t="s">
        <v>307</v>
      </c>
      <c r="G874" s="837">
        <v>12.78125</v>
      </c>
      <c r="H874" s="634" t="s">
        <v>927</v>
      </c>
      <c r="I874" s="798">
        <f>+R907</f>
        <v>0.9432470865927236</v>
      </c>
      <c r="J874" s="409"/>
      <c r="K874" s="530">
        <f>+E874*G874*I874</f>
        <v>541.30886946554483</v>
      </c>
      <c r="L874" s="61" t="s">
        <v>38</v>
      </c>
      <c r="M874" s="419"/>
      <c r="N874" s="1603"/>
      <c r="O874" s="128"/>
      <c r="P874" s="713"/>
      <c r="Q874" s="712"/>
      <c r="R874" s="714"/>
    </row>
    <row r="875" spans="1:21" s="128" customFormat="1" ht="30" customHeight="1" x14ac:dyDescent="0.25">
      <c r="A875" s="20"/>
      <c r="B875" s="192"/>
      <c r="C875" s="192"/>
      <c r="D875" s="192"/>
      <c r="E875" s="799"/>
      <c r="F875" s="61"/>
      <c r="G875" s="800"/>
      <c r="H875" s="646"/>
      <c r="I875" s="61"/>
      <c r="J875" s="61" t="s">
        <v>646</v>
      </c>
      <c r="K875" s="530">
        <f>SUM(K867:K874)</f>
        <v>65159.773695298951</v>
      </c>
      <c r="L875" s="61" t="s">
        <v>38</v>
      </c>
      <c r="M875" s="419"/>
      <c r="N875" s="420"/>
      <c r="O875"/>
      <c r="P875" s="412"/>
      <c r="Q875" s="391"/>
      <c r="R875" s="393"/>
      <c r="S875"/>
    </row>
    <row r="876" spans="1:21" s="128" customFormat="1" ht="30" customHeight="1" x14ac:dyDescent="0.25">
      <c r="A876" s="61"/>
      <c r="B876" s="498"/>
      <c r="C876" s="498"/>
      <c r="D876" s="498"/>
      <c r="E876" s="63"/>
      <c r="F876" s="63"/>
      <c r="G876" s="63"/>
      <c r="H876" s="63"/>
      <c r="I876" s="63"/>
      <c r="J876" s="61" t="s">
        <v>358</v>
      </c>
      <c r="K876" s="21">
        <f>+K875</f>
        <v>65159.773695298951</v>
      </c>
      <c r="L876" s="61" t="s">
        <v>38</v>
      </c>
      <c r="M876" s="419"/>
      <c r="N876" s="420"/>
      <c r="O876"/>
      <c r="P876" s="412"/>
      <c r="Q876" s="391"/>
      <c r="R876" s="393"/>
      <c r="S876"/>
    </row>
    <row r="877" spans="1:21" s="128" customFormat="1" ht="30" customHeight="1" thickBot="1" x14ac:dyDescent="0.3">
      <c r="A877" s="61"/>
      <c r="B877" s="61"/>
      <c r="C877" s="63"/>
      <c r="D877" s="63"/>
      <c r="E877" s="63"/>
      <c r="F877" s="63"/>
      <c r="G877" s="445" t="s">
        <v>537</v>
      </c>
      <c r="H877" s="63"/>
      <c r="I877" s="63"/>
      <c r="J877" s="361">
        <f>VLOOKUP(B865,'Mil Cost Premiums for RUCs'!$A$4:$R$265,18,FALSE)</f>
        <v>1.0485669999999998</v>
      </c>
      <c r="K877" s="21">
        <f>+K876*J877</f>
        <v>68324.38842435852</v>
      </c>
      <c r="L877" s="61" t="s">
        <v>38</v>
      </c>
      <c r="M877" s="419"/>
      <c r="N877" s="928"/>
      <c r="O877"/>
      <c r="P877" s="412"/>
      <c r="Q877" s="391"/>
      <c r="R877" s="393"/>
      <c r="S877"/>
    </row>
    <row r="878" spans="1:21" ht="30" customHeight="1" thickBot="1" x14ac:dyDescent="0.3">
      <c r="A878" s="76"/>
      <c r="B878" s="77"/>
      <c r="C878" s="77"/>
      <c r="D878" s="77"/>
      <c r="E878" s="77"/>
      <c r="F878" s="77"/>
      <c r="G878" s="77"/>
      <c r="H878" s="77"/>
      <c r="I878" s="77"/>
      <c r="J878" s="77"/>
      <c r="K878" s="77"/>
      <c r="L878" s="78"/>
      <c r="M878" s="670"/>
      <c r="N878" s="671"/>
      <c r="O878" s="43"/>
      <c r="P878" s="672"/>
      <c r="Q878" s="671"/>
      <c r="R878" s="673"/>
    </row>
    <row r="879" spans="1:21" ht="75" customHeight="1" x14ac:dyDescent="0.25">
      <c r="A879" s="30" t="s">
        <v>288</v>
      </c>
      <c r="B879" s="31">
        <v>1751</v>
      </c>
      <c r="C879" s="161" t="s">
        <v>929</v>
      </c>
      <c r="D879" s="162"/>
      <c r="E879" s="36" t="s">
        <v>291</v>
      </c>
      <c r="F879" s="37" t="s">
        <v>38</v>
      </c>
      <c r="G879" s="163" t="s">
        <v>930</v>
      </c>
      <c r="H879" s="487">
        <v>32</v>
      </c>
      <c r="I879" s="36" t="s">
        <v>292</v>
      </c>
      <c r="J879" s="38" t="s">
        <v>3385</v>
      </c>
      <c r="K879" s="38"/>
      <c r="L879" s="389"/>
      <c r="M879" s="670"/>
      <c r="N879" s="671"/>
      <c r="O879" s="43"/>
      <c r="P879" s="672"/>
      <c r="Q879" s="671"/>
      <c r="R879" s="673"/>
    </row>
    <row r="880" spans="1:21" ht="30" customHeight="1" thickBot="1" x14ac:dyDescent="0.3">
      <c r="A880" s="44" t="s">
        <v>913</v>
      </c>
      <c r="B880" s="490" t="s">
        <v>560</v>
      </c>
      <c r="C880" s="491"/>
      <c r="D880" s="492"/>
      <c r="E880" s="793" t="s">
        <v>519</v>
      </c>
      <c r="F880" s="793" t="s">
        <v>561</v>
      </c>
      <c r="G880" s="626" t="s">
        <v>562</v>
      </c>
      <c r="H880" s="627"/>
      <c r="I880" s="400" t="s">
        <v>530</v>
      </c>
      <c r="J880" s="675" t="s">
        <v>533</v>
      </c>
      <c r="K880" s="507" t="s">
        <v>521</v>
      </c>
      <c r="L880" s="508"/>
      <c r="M880" s="419"/>
      <c r="N880" s="420"/>
      <c r="O880"/>
      <c r="P880" s="412"/>
      <c r="Q880" s="391"/>
      <c r="R880" s="393"/>
    </row>
    <row r="881" spans="1:20" ht="30" customHeight="1" thickBot="1" x14ac:dyDescent="0.3">
      <c r="A881" s="61" t="s">
        <v>574</v>
      </c>
      <c r="B881" s="192" t="s">
        <v>931</v>
      </c>
      <c r="C881" s="192"/>
      <c r="D881" s="192"/>
      <c r="E881" s="781">
        <f>+P900</f>
        <v>422.88</v>
      </c>
      <c r="F881" s="644" t="s">
        <v>11</v>
      </c>
      <c r="G881" s="797"/>
      <c r="H881" s="634"/>
      <c r="I881" s="409">
        <f>+R885</f>
        <v>1.04</v>
      </c>
      <c r="J881" s="409">
        <f>+S885</f>
        <v>1.0490196078431373</v>
      </c>
      <c r="K881" s="530">
        <f>+E881*J881*I881</f>
        <v>461.35378823529413</v>
      </c>
      <c r="L881" s="61" t="s">
        <v>38</v>
      </c>
      <c r="M881" s="419"/>
      <c r="N881" s="802" t="s">
        <v>932</v>
      </c>
      <c r="O881" s="803"/>
      <c r="P881" s="803"/>
      <c r="Q881" s="803"/>
      <c r="R881" s="803"/>
      <c r="S881" s="804"/>
      <c r="T881" s="393"/>
    </row>
    <row r="882" spans="1:20" ht="30" customHeight="1" x14ac:dyDescent="0.25">
      <c r="A882" s="61" t="s">
        <v>780</v>
      </c>
      <c r="B882" s="191" t="s">
        <v>933</v>
      </c>
      <c r="C882" s="191"/>
      <c r="D882" s="191"/>
      <c r="E882" s="594">
        <f>+P901</f>
        <v>19.05</v>
      </c>
      <c r="F882" s="644" t="s">
        <v>11</v>
      </c>
      <c r="G882" s="797">
        <v>4</v>
      </c>
      <c r="H882" s="634" t="s">
        <v>934</v>
      </c>
      <c r="I882" s="409">
        <f>+R901</f>
        <v>1.04</v>
      </c>
      <c r="J882" s="409">
        <f>+S901</f>
        <v>1.0490196078431373</v>
      </c>
      <c r="K882" s="530">
        <f>+E882*G882*I882*J882</f>
        <v>83.132705882352951</v>
      </c>
      <c r="L882" s="61" t="s">
        <v>38</v>
      </c>
      <c r="M882" s="1067"/>
      <c r="N882" s="1896" t="s">
        <v>935</v>
      </c>
      <c r="O882" s="806" t="s">
        <v>936</v>
      </c>
      <c r="P882" s="807" t="s">
        <v>937</v>
      </c>
      <c r="Q882" s="808" t="s">
        <v>561</v>
      </c>
      <c r="R882" s="809" t="s">
        <v>938</v>
      </c>
      <c r="S882" s="810" t="s">
        <v>569</v>
      </c>
      <c r="T882" s="811"/>
    </row>
    <row r="883" spans="1:20" ht="30" customHeight="1" x14ac:dyDescent="0.25">
      <c r="A883" s="61" t="s">
        <v>922</v>
      </c>
      <c r="B883" s="192" t="s">
        <v>939</v>
      </c>
      <c r="C883" s="192"/>
      <c r="D883" s="192"/>
      <c r="E883" s="781">
        <f>+P896</f>
        <v>17.110000000000003</v>
      </c>
      <c r="F883" s="644" t="s">
        <v>7</v>
      </c>
      <c r="G883" s="797">
        <v>224</v>
      </c>
      <c r="H883" s="634" t="s">
        <v>924</v>
      </c>
      <c r="I883" s="409">
        <f>+R896</f>
        <v>1.02</v>
      </c>
      <c r="J883" s="409">
        <f>+S896</f>
        <v>1.0490196078431373</v>
      </c>
      <c r="K883" s="530">
        <f>+E883*G883*I883*J883</f>
        <v>4100.9248000000016</v>
      </c>
      <c r="L883" s="61" t="s">
        <v>38</v>
      </c>
      <c r="M883" s="1067"/>
      <c r="N883" s="15" t="s">
        <v>563</v>
      </c>
      <c r="O883" s="812" t="s">
        <v>940</v>
      </c>
      <c r="P883" s="813">
        <v>44.99</v>
      </c>
      <c r="Q883" s="6" t="s">
        <v>9</v>
      </c>
      <c r="R883" s="6">
        <v>1.05</v>
      </c>
      <c r="S883" s="814">
        <f t="shared" ref="S883:S888" si="1">1.07/1.02</f>
        <v>1.0490196078431373</v>
      </c>
      <c r="T883" s="412"/>
    </row>
    <row r="884" spans="1:20" s="49" customFormat="1" ht="30" customHeight="1" x14ac:dyDescent="0.25">
      <c r="A884" s="61">
        <v>93410</v>
      </c>
      <c r="B884" s="192" t="s">
        <v>941</v>
      </c>
      <c r="C884" s="192"/>
      <c r="D884" s="192"/>
      <c r="E884" s="781">
        <f>+P905</f>
        <v>8</v>
      </c>
      <c r="F884" s="644" t="s">
        <v>307</v>
      </c>
      <c r="G884" s="815">
        <v>60.5</v>
      </c>
      <c r="H884" s="634" t="s">
        <v>927</v>
      </c>
      <c r="I884" s="798">
        <f>+R905</f>
        <v>0.9432470865927236</v>
      </c>
      <c r="J884" s="20"/>
      <c r="K884" s="530">
        <f>+E884*G884*I884</f>
        <v>456.53158991087821</v>
      </c>
      <c r="L884" s="61" t="s">
        <v>38</v>
      </c>
      <c r="M884" s="1897"/>
      <c r="N884" s="15" t="s">
        <v>942</v>
      </c>
      <c r="O884" s="812" t="s">
        <v>943</v>
      </c>
      <c r="P884" s="813">
        <v>18.05</v>
      </c>
      <c r="Q884" s="6" t="s">
        <v>9</v>
      </c>
      <c r="R884" s="6">
        <v>1.06</v>
      </c>
      <c r="S884" s="814">
        <f t="shared" si="1"/>
        <v>1.0490196078431373</v>
      </c>
      <c r="T884" s="412"/>
    </row>
    <row r="885" spans="1:20" ht="30" customHeight="1" x14ac:dyDescent="0.25">
      <c r="A885" s="61">
        <v>93210</v>
      </c>
      <c r="B885" s="192" t="s">
        <v>944</v>
      </c>
      <c r="C885" s="192"/>
      <c r="D885" s="192"/>
      <c r="E885" s="781">
        <f>+P907</f>
        <v>44.901000000000003</v>
      </c>
      <c r="F885" s="644" t="s">
        <v>307</v>
      </c>
      <c r="G885" s="815">
        <v>12.09375</v>
      </c>
      <c r="H885" s="634" t="s">
        <v>927</v>
      </c>
      <c r="I885" s="798">
        <f>+R907</f>
        <v>0.9432470865927236</v>
      </c>
      <c r="J885" s="20"/>
      <c r="K885" s="530">
        <f>+E885*G885*I885</f>
        <v>512.20341835573925</v>
      </c>
      <c r="L885" s="61" t="s">
        <v>38</v>
      </c>
      <c r="M885" s="1067"/>
      <c r="N885" s="15" t="s">
        <v>574</v>
      </c>
      <c r="O885" s="812" t="s">
        <v>945</v>
      </c>
      <c r="P885" s="813">
        <f>+(1500+1850)/2+4*(227+443)/2</f>
        <v>3015</v>
      </c>
      <c r="Q885" s="6" t="s">
        <v>11</v>
      </c>
      <c r="R885" s="6">
        <v>1.04</v>
      </c>
      <c r="S885" s="814">
        <f t="shared" si="1"/>
        <v>1.0490196078431373</v>
      </c>
      <c r="T885" s="412"/>
    </row>
    <row r="886" spans="1:20" ht="30" customHeight="1" x14ac:dyDescent="0.25">
      <c r="A886" s="61"/>
      <c r="B886" s="192"/>
      <c r="C886" s="192"/>
      <c r="D886" s="192"/>
      <c r="E886" s="530"/>
      <c r="F886" s="61"/>
      <c r="G886" s="817"/>
      <c r="H886" s="646"/>
      <c r="I886" s="818"/>
      <c r="J886" s="20" t="s">
        <v>646</v>
      </c>
      <c r="K886" s="530">
        <f>SUM(K881:K885)</f>
        <v>5614.1463023842662</v>
      </c>
      <c r="L886" s="61" t="s">
        <v>38</v>
      </c>
      <c r="M886" s="1067"/>
      <c r="N886" s="1898" t="s">
        <v>849</v>
      </c>
      <c r="O886" s="812" t="s">
        <v>946</v>
      </c>
      <c r="P886" s="594">
        <f>+(4.41+6.58)/2+4*(0.4+0.58)/2+(0.46+2.32)/2</f>
        <v>8.8450000000000006</v>
      </c>
      <c r="Q886" s="6" t="s">
        <v>9</v>
      </c>
      <c r="R886" s="6">
        <v>1.04</v>
      </c>
      <c r="S886" s="814">
        <f t="shared" si="1"/>
        <v>1.0490196078431373</v>
      </c>
      <c r="T886" s="412"/>
    </row>
    <row r="887" spans="1:20" ht="30" customHeight="1" thickBot="1" x14ac:dyDescent="0.3">
      <c r="A887" s="61"/>
      <c r="B887" s="61"/>
      <c r="C887" s="63"/>
      <c r="D887" s="63"/>
      <c r="E887" s="63"/>
      <c r="F887" s="63"/>
      <c r="G887" s="445" t="s">
        <v>537</v>
      </c>
      <c r="H887" s="63"/>
      <c r="I887" s="18"/>
      <c r="J887" s="361">
        <f>VLOOKUP(B879,'Mil Cost Premiums for RUCs'!$A$4:$R$265,18,FALSE)</f>
        <v>1.0485669999999998</v>
      </c>
      <c r="K887" s="21">
        <f>+K886*J887</f>
        <v>5886.8085458521618</v>
      </c>
      <c r="L887" s="61" t="s">
        <v>38</v>
      </c>
      <c r="M887" s="1067"/>
      <c r="N887" s="1898" t="s">
        <v>849</v>
      </c>
      <c r="O887" s="812" t="s">
        <v>947</v>
      </c>
      <c r="P887" s="594">
        <f>+(4.41+6.58)/2+8*(0.4+0.58)/2+(0.46+2.32)/2</f>
        <v>10.805</v>
      </c>
      <c r="Q887" s="6" t="s">
        <v>9</v>
      </c>
      <c r="R887" s="6">
        <v>1.04</v>
      </c>
      <c r="S887" s="814">
        <f t="shared" si="1"/>
        <v>1.0490196078431373</v>
      </c>
      <c r="T887" s="412"/>
    </row>
    <row r="888" spans="1:20" ht="30" customHeight="1" thickBot="1" x14ac:dyDescent="0.3">
      <c r="A888" s="76"/>
      <c r="B888" s="77"/>
      <c r="C888" s="77"/>
      <c r="D888" s="77"/>
      <c r="E888" s="77"/>
      <c r="F888" s="77"/>
      <c r="G888" s="77"/>
      <c r="H888" s="77"/>
      <c r="I888" s="77"/>
      <c r="J888" s="77"/>
      <c r="K888" s="77"/>
      <c r="L888" s="78"/>
      <c r="M888" s="1067"/>
      <c r="N888" s="1898" t="s">
        <v>780</v>
      </c>
      <c r="O888" s="812" t="s">
        <v>948</v>
      </c>
      <c r="P888" s="813">
        <v>17.95</v>
      </c>
      <c r="Q888" s="6" t="s">
        <v>9</v>
      </c>
      <c r="R888" s="6">
        <v>1.04</v>
      </c>
      <c r="S888" s="814">
        <f t="shared" si="1"/>
        <v>1.0490196078431373</v>
      </c>
      <c r="T888" s="819"/>
    </row>
    <row r="889" spans="1:20" ht="75" customHeight="1" x14ac:dyDescent="0.25">
      <c r="A889" s="30" t="s">
        <v>288</v>
      </c>
      <c r="B889" s="31">
        <v>1752</v>
      </c>
      <c r="C889" s="161" t="s">
        <v>949</v>
      </c>
      <c r="D889" s="162"/>
      <c r="E889" s="36" t="s">
        <v>291</v>
      </c>
      <c r="F889" s="37" t="s">
        <v>38</v>
      </c>
      <c r="G889" s="163" t="s">
        <v>950</v>
      </c>
      <c r="H889" s="487">
        <v>32</v>
      </c>
      <c r="I889" s="36" t="s">
        <v>292</v>
      </c>
      <c r="J889" s="38" t="s">
        <v>3385</v>
      </c>
      <c r="K889" s="38"/>
      <c r="L889" s="389"/>
      <c r="M889" s="1067"/>
      <c r="N889" s="1898" t="s">
        <v>780</v>
      </c>
      <c r="O889" s="812" t="s">
        <v>951</v>
      </c>
      <c r="P889" s="813">
        <f>+(4.31+5.06)/2</f>
        <v>4.6849999999999996</v>
      </c>
      <c r="Q889" s="6" t="s">
        <v>9</v>
      </c>
      <c r="R889" s="6">
        <v>1.04</v>
      </c>
      <c r="S889" s="814">
        <f>1.07/1.02</f>
        <v>1.0490196078431373</v>
      </c>
      <c r="T889" s="819"/>
    </row>
    <row r="890" spans="1:20" ht="30" customHeight="1" x14ac:dyDescent="0.25">
      <c r="A890" s="44" t="s">
        <v>913</v>
      </c>
      <c r="B890" s="490" t="s">
        <v>560</v>
      </c>
      <c r="C890" s="491"/>
      <c r="D890" s="492"/>
      <c r="E890" s="793" t="s">
        <v>519</v>
      </c>
      <c r="F890" s="793" t="s">
        <v>561</v>
      </c>
      <c r="G890" s="626" t="s">
        <v>562</v>
      </c>
      <c r="H890" s="627"/>
      <c r="I890" s="181" t="s">
        <v>530</v>
      </c>
      <c r="J890" s="675" t="s">
        <v>533</v>
      </c>
      <c r="K890" s="507" t="s">
        <v>521</v>
      </c>
      <c r="L890" s="508"/>
      <c r="M890" s="1067"/>
      <c r="N890" s="1898" t="s">
        <v>916</v>
      </c>
      <c r="O890" s="11" t="s">
        <v>917</v>
      </c>
      <c r="P890" s="813">
        <f>+(339+540)/2</f>
        <v>439.5</v>
      </c>
      <c r="Q890" s="6" t="s">
        <v>11</v>
      </c>
      <c r="R890" s="820">
        <v>1.02</v>
      </c>
      <c r="S890" s="814">
        <f>1.07/1.02</f>
        <v>1.0490196078431373</v>
      </c>
      <c r="T890" s="819"/>
    </row>
    <row r="891" spans="1:20" ht="30" customHeight="1" x14ac:dyDescent="0.25">
      <c r="A891" s="61" t="s">
        <v>849</v>
      </c>
      <c r="B891" s="236" t="s">
        <v>952</v>
      </c>
      <c r="C891" s="237"/>
      <c r="D891" s="238"/>
      <c r="E891" s="781">
        <f>+P886</f>
        <v>8.8450000000000006</v>
      </c>
      <c r="F891" s="61" t="s">
        <v>9</v>
      </c>
      <c r="G891" s="797">
        <f>3*62</f>
        <v>186</v>
      </c>
      <c r="H891" s="634" t="s">
        <v>915</v>
      </c>
      <c r="I891" s="751">
        <f>+R886</f>
        <v>1.04</v>
      </c>
      <c r="J891" s="751">
        <f>+S886</f>
        <v>1.0490196078431373</v>
      </c>
      <c r="K891" s="530">
        <f>+E891*G891*I891*J891</f>
        <v>1794.8482117647061</v>
      </c>
      <c r="L891" s="61" t="s">
        <v>38</v>
      </c>
      <c r="M891" s="1067"/>
      <c r="N891" s="1898" t="s">
        <v>916</v>
      </c>
      <c r="O891" s="11" t="s">
        <v>953</v>
      </c>
      <c r="P891" s="813">
        <f>+(655+945)/2</f>
        <v>800</v>
      </c>
      <c r="Q891" s="6" t="s">
        <v>11</v>
      </c>
      <c r="R891" s="820">
        <v>1.02</v>
      </c>
      <c r="S891" s="814">
        <f>1.07/1.02</f>
        <v>1.0490196078431373</v>
      </c>
      <c r="T891" s="819"/>
    </row>
    <row r="892" spans="1:20" ht="30" customHeight="1" x14ac:dyDescent="0.25">
      <c r="A892" s="61" t="s">
        <v>916</v>
      </c>
      <c r="B892" s="236" t="s">
        <v>917</v>
      </c>
      <c r="C892" s="237"/>
      <c r="D892" s="238"/>
      <c r="E892" s="781">
        <f>+P890</f>
        <v>439.5</v>
      </c>
      <c r="F892" s="644" t="s">
        <v>11</v>
      </c>
      <c r="G892" s="797">
        <v>3</v>
      </c>
      <c r="H892" s="634" t="s">
        <v>918</v>
      </c>
      <c r="I892" s="751">
        <f>+R890</f>
        <v>1.02</v>
      </c>
      <c r="J892" s="751">
        <f>+S890</f>
        <v>1.0490196078431373</v>
      </c>
      <c r="K892" s="530">
        <f>+E892*G892*I892*J892</f>
        <v>1410.7950000000003</v>
      </c>
      <c r="L892" s="61" t="s">
        <v>38</v>
      </c>
      <c r="M892" s="1067"/>
      <c r="N892" s="1898" t="s">
        <v>916</v>
      </c>
      <c r="O892" s="11" t="s">
        <v>919</v>
      </c>
      <c r="P892" s="813">
        <f>+(220+412)/2</f>
        <v>316</v>
      </c>
      <c r="Q892" s="6" t="s">
        <v>11</v>
      </c>
      <c r="R892" s="820">
        <v>1.02</v>
      </c>
      <c r="S892" s="814">
        <f>1.07/1.02</f>
        <v>1.0490196078431373</v>
      </c>
      <c r="T892" s="819"/>
    </row>
    <row r="893" spans="1:20" ht="30" customHeight="1" x14ac:dyDescent="0.25">
      <c r="A893" s="61" t="s">
        <v>916</v>
      </c>
      <c r="B893" s="236" t="s">
        <v>919</v>
      </c>
      <c r="C893" s="237"/>
      <c r="D893" s="238"/>
      <c r="E893" s="781">
        <f>+P892</f>
        <v>316</v>
      </c>
      <c r="F893" s="644" t="s">
        <v>11</v>
      </c>
      <c r="G893" s="797">
        <v>3</v>
      </c>
      <c r="H893" s="634" t="s">
        <v>918</v>
      </c>
      <c r="I893" s="751">
        <f>+R892</f>
        <v>1.02</v>
      </c>
      <c r="J893" s="751">
        <f>+S892</f>
        <v>1.0490196078431373</v>
      </c>
      <c r="K893" s="530">
        <f>+E893*G893*I893*J893</f>
        <v>1014.3600000000001</v>
      </c>
      <c r="L893" s="61" t="s">
        <v>38</v>
      </c>
      <c r="M893" s="1067"/>
      <c r="N893" s="1898"/>
      <c r="O893" s="11"/>
      <c r="P893" s="813"/>
      <c r="Q893" s="6"/>
      <c r="R893" s="820"/>
      <c r="S893" s="814"/>
      <c r="T893" s="819"/>
    </row>
    <row r="894" spans="1:20" ht="30" customHeight="1" x14ac:dyDescent="0.25">
      <c r="A894" s="61" t="s">
        <v>920</v>
      </c>
      <c r="B894" s="236" t="s">
        <v>921</v>
      </c>
      <c r="C894" s="237"/>
      <c r="D894" s="238"/>
      <c r="E894" s="781">
        <f>+P895</f>
        <v>137.85</v>
      </c>
      <c r="F894" s="644" t="s">
        <v>11</v>
      </c>
      <c r="G894" s="797">
        <v>12</v>
      </c>
      <c r="H894" s="634" t="s">
        <v>918</v>
      </c>
      <c r="I894" s="751">
        <f>+R895</f>
        <v>1.02</v>
      </c>
      <c r="J894" s="751">
        <f>+S895</f>
        <v>1.0490196078431373</v>
      </c>
      <c r="K894" s="530">
        <f>+E894*G894*I894*J894</f>
        <v>1769.9939999999999</v>
      </c>
      <c r="L894" s="61" t="s">
        <v>38</v>
      </c>
      <c r="M894" s="1067"/>
      <c r="N894" s="1898" t="s">
        <v>916</v>
      </c>
      <c r="O894" s="11" t="s">
        <v>954</v>
      </c>
      <c r="P894" s="813">
        <f>+(760+1210)/2</f>
        <v>985</v>
      </c>
      <c r="Q894" s="6" t="s">
        <v>11</v>
      </c>
      <c r="R894" s="820">
        <v>1.02</v>
      </c>
      <c r="S894" s="814">
        <f>1.07/1.02</f>
        <v>1.0490196078431373</v>
      </c>
      <c r="T894" s="819"/>
    </row>
    <row r="895" spans="1:20" ht="30" customHeight="1" x14ac:dyDescent="0.25">
      <c r="A895" s="61" t="s">
        <v>922</v>
      </c>
      <c r="B895" s="236" t="s">
        <v>923</v>
      </c>
      <c r="C895" s="237"/>
      <c r="D895" s="238"/>
      <c r="E895" s="781">
        <f>+P896</f>
        <v>17.110000000000003</v>
      </c>
      <c r="F895" s="644" t="s">
        <v>7</v>
      </c>
      <c r="G895" s="777">
        <v>2653</v>
      </c>
      <c r="H895" s="634" t="s">
        <v>924</v>
      </c>
      <c r="I895" s="751">
        <f>+R896</f>
        <v>1.02</v>
      </c>
      <c r="J895" s="751">
        <f>+S896</f>
        <v>1.0490196078431373</v>
      </c>
      <c r="K895" s="530">
        <f>+E895*G895*I895*J895</f>
        <v>48570.328100000013</v>
      </c>
      <c r="L895" s="61" t="s">
        <v>38</v>
      </c>
      <c r="M895" s="1067"/>
      <c r="N895" s="1898" t="s">
        <v>920</v>
      </c>
      <c r="O895" s="812" t="s">
        <v>921</v>
      </c>
      <c r="P895" s="813">
        <f>126+((7.9+15.8))/2</f>
        <v>137.85</v>
      </c>
      <c r="Q895" s="6" t="s">
        <v>11</v>
      </c>
      <c r="R895" s="820">
        <v>1.02</v>
      </c>
      <c r="S895" s="814">
        <f t="shared" ref="S895:S902" si="2">1.07/1.02</f>
        <v>1.0490196078431373</v>
      </c>
      <c r="T895" s="819"/>
    </row>
    <row r="896" spans="1:20" ht="30" customHeight="1" x14ac:dyDescent="0.25">
      <c r="A896" s="61" t="s">
        <v>574</v>
      </c>
      <c r="B896" s="236" t="s">
        <v>931</v>
      </c>
      <c r="C896" s="237"/>
      <c r="D896" s="238"/>
      <c r="E896" s="781">
        <f>+P900</f>
        <v>422.88</v>
      </c>
      <c r="F896" s="644" t="s">
        <v>11</v>
      </c>
      <c r="G896" s="797"/>
      <c r="H896" s="634"/>
      <c r="I896" s="751">
        <f>+R885</f>
        <v>1.04</v>
      </c>
      <c r="J896" s="751">
        <f>+S885</f>
        <v>1.0490196078431373</v>
      </c>
      <c r="K896" s="530">
        <f>+E896*J896*I896</f>
        <v>461.35378823529413</v>
      </c>
      <c r="L896" s="61" t="s">
        <v>38</v>
      </c>
      <c r="M896" s="1067"/>
      <c r="N896" s="1898" t="s">
        <v>922</v>
      </c>
      <c r="O896" s="812" t="s">
        <v>939</v>
      </c>
      <c r="P896" s="813">
        <f>16.35+0.76</f>
        <v>17.110000000000003</v>
      </c>
      <c r="Q896" s="6" t="s">
        <v>7</v>
      </c>
      <c r="R896" s="820">
        <v>1.02</v>
      </c>
      <c r="S896" s="814">
        <f t="shared" si="2"/>
        <v>1.0490196078431373</v>
      </c>
      <c r="T896" s="819"/>
    </row>
    <row r="897" spans="1:20" ht="30" customHeight="1" x14ac:dyDescent="0.25">
      <c r="A897" s="61">
        <v>93410</v>
      </c>
      <c r="B897" s="236" t="s">
        <v>955</v>
      </c>
      <c r="C897" s="237"/>
      <c r="D897" s="238"/>
      <c r="E897" s="781">
        <f>+P905</f>
        <v>8</v>
      </c>
      <c r="F897" s="644" t="s">
        <v>307</v>
      </c>
      <c r="G897" s="837">
        <v>277.9375</v>
      </c>
      <c r="H897" s="634" t="s">
        <v>927</v>
      </c>
      <c r="I897" s="821">
        <f>+R905</f>
        <v>0.9432470865927236</v>
      </c>
      <c r="J897" s="20"/>
      <c r="K897" s="530">
        <f>+E897*G897*I897</f>
        <v>2097.309897038921</v>
      </c>
      <c r="L897" s="61" t="s">
        <v>38</v>
      </c>
      <c r="M897" s="906"/>
      <c r="N897" s="1898" t="s">
        <v>922</v>
      </c>
      <c r="O897" s="812" t="s">
        <v>956</v>
      </c>
      <c r="P897" s="813">
        <v>14.6</v>
      </c>
      <c r="Q897" s="6" t="s">
        <v>7</v>
      </c>
      <c r="R897" s="820">
        <v>1.02</v>
      </c>
      <c r="S897" s="814">
        <f t="shared" si="2"/>
        <v>1.0490196078431373</v>
      </c>
      <c r="T897" s="819"/>
    </row>
    <row r="898" spans="1:20" s="49" customFormat="1" ht="30" customHeight="1" x14ac:dyDescent="0.25">
      <c r="A898" s="61">
        <v>93210</v>
      </c>
      <c r="B898" s="236" t="s">
        <v>957</v>
      </c>
      <c r="C898" s="237"/>
      <c r="D898" s="238"/>
      <c r="E898" s="781">
        <f>+P907</f>
        <v>44.901000000000003</v>
      </c>
      <c r="F898" s="644" t="s">
        <v>307</v>
      </c>
      <c r="G898" s="815">
        <v>32.625</v>
      </c>
      <c r="H898" s="634" t="s">
        <v>927</v>
      </c>
      <c r="I898" s="821">
        <f>+R907</f>
        <v>0.9432470865927236</v>
      </c>
      <c r="J898" s="20"/>
      <c r="K898" s="530">
        <f>+E898*G898*I898</f>
        <v>1381.7580588201338</v>
      </c>
      <c r="L898" s="61" t="s">
        <v>38</v>
      </c>
      <c r="M898" s="1897"/>
      <c r="N898" s="1898" t="s">
        <v>760</v>
      </c>
      <c r="O898" s="822" t="s">
        <v>958</v>
      </c>
      <c r="P898" s="813">
        <f>(15.9+18.35)/2</f>
        <v>17.125</v>
      </c>
      <c r="Q898" s="6" t="s">
        <v>7</v>
      </c>
      <c r="R898" s="6">
        <v>1.02</v>
      </c>
      <c r="S898" s="814">
        <f t="shared" si="2"/>
        <v>1.0490196078431373</v>
      </c>
      <c r="T898" s="819"/>
    </row>
    <row r="899" spans="1:20" ht="30" customHeight="1" x14ac:dyDescent="0.25">
      <c r="A899" s="61"/>
      <c r="B899" s="192"/>
      <c r="C899" s="192"/>
      <c r="D899" s="192"/>
      <c r="E899" s="530"/>
      <c r="F899" s="61"/>
      <c r="G899" s="817"/>
      <c r="H899" s="646"/>
      <c r="I899" s="61"/>
      <c r="J899" s="61" t="s">
        <v>646</v>
      </c>
      <c r="K899" s="530">
        <f>SUM(K891:K898)</f>
        <v>58500.747055859065</v>
      </c>
      <c r="L899" s="61" t="s">
        <v>38</v>
      </c>
      <c r="M899" s="1067"/>
      <c r="N899" s="1898" t="s">
        <v>760</v>
      </c>
      <c r="O899" s="11" t="s">
        <v>959</v>
      </c>
      <c r="P899" s="813">
        <f>+(1610+3625)/2</f>
        <v>2617.5</v>
      </c>
      <c r="Q899" s="6" t="s">
        <v>11</v>
      </c>
      <c r="R899" s="6">
        <v>1.02</v>
      </c>
      <c r="S899" s="814">
        <f t="shared" si="2"/>
        <v>1.0490196078431373</v>
      </c>
      <c r="T899" s="819"/>
    </row>
    <row r="900" spans="1:20" ht="30" customHeight="1" thickBot="1" x14ac:dyDescent="0.3">
      <c r="A900" s="61"/>
      <c r="B900" s="61"/>
      <c r="C900" s="63"/>
      <c r="D900" s="63"/>
      <c r="E900" s="63"/>
      <c r="F900" s="63"/>
      <c r="G900" s="445" t="s">
        <v>537</v>
      </c>
      <c r="H900" s="63"/>
      <c r="I900" s="63"/>
      <c r="J900" s="361">
        <f>VLOOKUP(B889,'Mil Cost Premiums for RUCs'!$A$4:$R$265,18,FALSE)</f>
        <v>1.0485669999999998</v>
      </c>
      <c r="K900" s="21">
        <f>+K899*J900</f>
        <v>61341.95283812096</v>
      </c>
      <c r="L900" s="61" t="s">
        <v>38</v>
      </c>
      <c r="M900" s="1067"/>
      <c r="N900" s="1898" t="s">
        <v>574</v>
      </c>
      <c r="O900" s="812" t="s">
        <v>931</v>
      </c>
      <c r="P900" s="813">
        <f>(61.26+(2.47*18))*4</f>
        <v>422.88</v>
      </c>
      <c r="Q900" s="6" t="s">
        <v>11</v>
      </c>
      <c r="R900" s="6">
        <v>1.04</v>
      </c>
      <c r="S900" s="814">
        <f t="shared" si="2"/>
        <v>1.0490196078431373</v>
      </c>
      <c r="T900" s="819"/>
    </row>
    <row r="901" spans="1:20" ht="30" customHeight="1" thickBot="1" x14ac:dyDescent="0.3">
      <c r="A901" s="76"/>
      <c r="B901" s="77"/>
      <c r="C901" s="77"/>
      <c r="D901" s="77"/>
      <c r="E901" s="77"/>
      <c r="F901" s="77"/>
      <c r="G901" s="77"/>
      <c r="H901" s="77"/>
      <c r="I901" s="77"/>
      <c r="J901" s="77"/>
      <c r="K901" s="77"/>
      <c r="L901" s="78"/>
      <c r="M901" s="1067"/>
      <c r="N901" s="1898" t="s">
        <v>780</v>
      </c>
      <c r="O901" s="823" t="s">
        <v>933</v>
      </c>
      <c r="P901" s="813">
        <v>19.05</v>
      </c>
      <c r="Q901" s="6" t="s">
        <v>11</v>
      </c>
      <c r="R901" s="820">
        <v>1.04</v>
      </c>
      <c r="S901" s="814">
        <f t="shared" si="2"/>
        <v>1.0490196078431373</v>
      </c>
      <c r="T901" s="819"/>
    </row>
    <row r="902" spans="1:20" ht="75" customHeight="1" x14ac:dyDescent="0.25">
      <c r="A902" s="30" t="s">
        <v>288</v>
      </c>
      <c r="B902" s="31">
        <v>1753</v>
      </c>
      <c r="C902" s="161" t="s">
        <v>960</v>
      </c>
      <c r="D902" s="162"/>
      <c r="E902" s="36" t="s">
        <v>291</v>
      </c>
      <c r="F902" s="37" t="s">
        <v>38</v>
      </c>
      <c r="G902" s="163" t="s">
        <v>961</v>
      </c>
      <c r="H902" s="487">
        <v>16</v>
      </c>
      <c r="I902" s="36" t="s">
        <v>292</v>
      </c>
      <c r="J902" s="38" t="s">
        <v>3399</v>
      </c>
      <c r="K902" s="38"/>
      <c r="L902" s="389"/>
      <c r="M902" s="1067"/>
      <c r="N902" s="1898" t="s">
        <v>782</v>
      </c>
      <c r="O902" s="812" t="s">
        <v>962</v>
      </c>
      <c r="P902" s="813">
        <v>27</v>
      </c>
      <c r="Q902" s="6" t="s">
        <v>9</v>
      </c>
      <c r="R902" s="820">
        <v>1.04</v>
      </c>
      <c r="S902" s="814">
        <f t="shared" si="2"/>
        <v>1.0490196078431373</v>
      </c>
      <c r="T902" s="819"/>
    </row>
    <row r="903" spans="1:20" ht="30" customHeight="1" x14ac:dyDescent="0.25">
      <c r="A903" s="44" t="s">
        <v>913</v>
      </c>
      <c r="B903" s="490" t="s">
        <v>560</v>
      </c>
      <c r="C903" s="491"/>
      <c r="D903" s="492"/>
      <c r="E903" s="793" t="s">
        <v>519</v>
      </c>
      <c r="F903" s="793" t="s">
        <v>561</v>
      </c>
      <c r="G903" s="626" t="s">
        <v>562</v>
      </c>
      <c r="H903" s="627"/>
      <c r="I903" s="181" t="s">
        <v>530</v>
      </c>
      <c r="J903" s="675" t="s">
        <v>533</v>
      </c>
      <c r="K903" s="507" t="s">
        <v>521</v>
      </c>
      <c r="L903" s="508"/>
      <c r="M903" s="1067"/>
      <c r="N903" s="1898">
        <v>85110</v>
      </c>
      <c r="O903" s="11" t="s">
        <v>963</v>
      </c>
      <c r="P903" s="813">
        <v>18.100000000000001</v>
      </c>
      <c r="Q903" s="6" t="s">
        <v>3</v>
      </c>
      <c r="R903" s="824">
        <f>+'MILCON Inflation Table'!$F$17</f>
        <v>0.9432470865927236</v>
      </c>
      <c r="S903" s="814"/>
      <c r="T903" s="819"/>
    </row>
    <row r="904" spans="1:20" ht="30" customHeight="1" x14ac:dyDescent="0.25">
      <c r="A904" s="61" t="s">
        <v>849</v>
      </c>
      <c r="B904" s="236" t="s">
        <v>964</v>
      </c>
      <c r="C904" s="237"/>
      <c r="D904" s="238"/>
      <c r="E904" s="781">
        <f>+P886</f>
        <v>8.8450000000000006</v>
      </c>
      <c r="F904" s="61" t="s">
        <v>9</v>
      </c>
      <c r="G904" s="797">
        <f>7*62</f>
        <v>434</v>
      </c>
      <c r="H904" s="634" t="s">
        <v>915</v>
      </c>
      <c r="I904" s="751">
        <f>+R886</f>
        <v>1.04</v>
      </c>
      <c r="J904" s="751">
        <f>+S886</f>
        <v>1.0490196078431373</v>
      </c>
      <c r="K904" s="530">
        <f>+E904*G904*I904*J904</f>
        <v>4187.9791607843144</v>
      </c>
      <c r="L904" s="61" t="s">
        <v>38</v>
      </c>
      <c r="M904" s="1067"/>
      <c r="N904" s="1898">
        <v>85110</v>
      </c>
      <c r="O904" s="812" t="s">
        <v>965</v>
      </c>
      <c r="P904" s="813">
        <v>57</v>
      </c>
      <c r="Q904" s="6" t="s">
        <v>3</v>
      </c>
      <c r="R904" s="824">
        <f>+'MILCON Inflation Table'!$F$17</f>
        <v>0.9432470865927236</v>
      </c>
      <c r="S904" s="814"/>
      <c r="T904" s="819"/>
    </row>
    <row r="905" spans="1:20" ht="30" customHeight="1" x14ac:dyDescent="0.25">
      <c r="A905" s="61" t="s">
        <v>916</v>
      </c>
      <c r="B905" s="236" t="s">
        <v>917</v>
      </c>
      <c r="C905" s="237"/>
      <c r="D905" s="238"/>
      <c r="E905" s="781">
        <f>+P890</f>
        <v>439.5</v>
      </c>
      <c r="F905" s="644" t="s">
        <v>11</v>
      </c>
      <c r="G905" s="794">
        <v>7</v>
      </c>
      <c r="H905" s="634" t="s">
        <v>918</v>
      </c>
      <c r="I905" s="751">
        <f>+R890</f>
        <v>1.02</v>
      </c>
      <c r="J905" s="751">
        <f>+S890</f>
        <v>1.0490196078431373</v>
      </c>
      <c r="K905" s="530">
        <f>+E905*G905*I905*J905</f>
        <v>3291.8550000000005</v>
      </c>
      <c r="L905" s="61" t="s">
        <v>38</v>
      </c>
      <c r="M905" s="1067"/>
      <c r="N905" s="1898">
        <v>93410</v>
      </c>
      <c r="O905" s="825" t="s">
        <v>966</v>
      </c>
      <c r="P905" s="813">
        <v>8</v>
      </c>
      <c r="Q905" s="826" t="s">
        <v>307</v>
      </c>
      <c r="R905" s="827">
        <f>+'MILCON Inflation Table'!$F$17</f>
        <v>0.9432470865927236</v>
      </c>
      <c r="S905" s="828"/>
      <c r="T905" s="819"/>
    </row>
    <row r="906" spans="1:20" ht="30" customHeight="1" x14ac:dyDescent="0.25">
      <c r="A906" s="61" t="s">
        <v>916</v>
      </c>
      <c r="B906" s="236" t="s">
        <v>919</v>
      </c>
      <c r="C906" s="237"/>
      <c r="D906" s="238"/>
      <c r="E906" s="781">
        <f>+P892</f>
        <v>316</v>
      </c>
      <c r="F906" s="644" t="s">
        <v>11</v>
      </c>
      <c r="G906" s="794">
        <v>7</v>
      </c>
      <c r="H906" s="634" t="s">
        <v>918</v>
      </c>
      <c r="I906" s="751">
        <f>+R892</f>
        <v>1.02</v>
      </c>
      <c r="J906" s="751">
        <f>+S892</f>
        <v>1.0490196078431373</v>
      </c>
      <c r="K906" s="530">
        <f>+E906*G906*I906*J906</f>
        <v>2366.84</v>
      </c>
      <c r="L906" s="61" t="s">
        <v>38</v>
      </c>
      <c r="M906" s="1067"/>
      <c r="N906" s="1898">
        <v>93410</v>
      </c>
      <c r="O906" s="825" t="s">
        <v>967</v>
      </c>
      <c r="P906" s="813">
        <v>1.1000000000000001</v>
      </c>
      <c r="Q906" s="826" t="s">
        <v>3</v>
      </c>
      <c r="R906" s="827">
        <f>+'MILCON Inflation Table'!$F$17</f>
        <v>0.9432470865927236</v>
      </c>
      <c r="S906" s="828"/>
      <c r="T906" s="819"/>
    </row>
    <row r="907" spans="1:20" ht="30" customHeight="1" x14ac:dyDescent="0.25">
      <c r="A907" s="61" t="s">
        <v>920</v>
      </c>
      <c r="B907" s="236" t="s">
        <v>921</v>
      </c>
      <c r="C907" s="237"/>
      <c r="D907" s="238"/>
      <c r="E907" s="781">
        <f>+P895</f>
        <v>137.85</v>
      </c>
      <c r="F907" s="644" t="s">
        <v>11</v>
      </c>
      <c r="G907" s="797">
        <v>28</v>
      </c>
      <c r="H907" s="634" t="s">
        <v>918</v>
      </c>
      <c r="I907" s="751">
        <f>+R895</f>
        <v>1.02</v>
      </c>
      <c r="J907" s="751">
        <f>+S895</f>
        <v>1.0490196078431373</v>
      </c>
      <c r="K907" s="530">
        <f>+E907*G907*I907*J907</f>
        <v>4129.9859999999999</v>
      </c>
      <c r="L907" s="61" t="s">
        <v>38</v>
      </c>
      <c r="M907" s="1067"/>
      <c r="N907" s="1898">
        <v>93210</v>
      </c>
      <c r="O907" s="167" t="s">
        <v>968</v>
      </c>
      <c r="P907" s="813">
        <v>44.901000000000003</v>
      </c>
      <c r="Q907" s="826" t="s">
        <v>307</v>
      </c>
      <c r="R907" s="827">
        <f>+'MILCON Inflation Table'!$F$17</f>
        <v>0.9432470865927236</v>
      </c>
      <c r="S907" s="828"/>
      <c r="T907" s="819"/>
    </row>
    <row r="908" spans="1:20" s="49" customFormat="1" ht="30" customHeight="1" thickBot="1" x14ac:dyDescent="0.3">
      <c r="A908" s="61" t="s">
        <v>922</v>
      </c>
      <c r="B908" s="236" t="s">
        <v>969</v>
      </c>
      <c r="C908" s="237"/>
      <c r="D908" s="238"/>
      <c r="E908" s="781">
        <f>+P896</f>
        <v>17.110000000000003</v>
      </c>
      <c r="F908" s="644" t="s">
        <v>7</v>
      </c>
      <c r="G908" s="829">
        <f>574*7</f>
        <v>4018</v>
      </c>
      <c r="H908" s="634" t="s">
        <v>924</v>
      </c>
      <c r="I908" s="751">
        <f>+R896</f>
        <v>1.02</v>
      </c>
      <c r="J908" s="751">
        <f>+S896</f>
        <v>1.0490196078431373</v>
      </c>
      <c r="K908" s="530">
        <f>+E908*G908*I908*J908</f>
        <v>73560.338600000017</v>
      </c>
      <c r="L908" s="61" t="s">
        <v>38</v>
      </c>
      <c r="M908" s="1897"/>
      <c r="N908" s="1899">
        <v>85110</v>
      </c>
      <c r="O908" s="830" t="s">
        <v>970</v>
      </c>
      <c r="P908" s="831">
        <v>68</v>
      </c>
      <c r="Q908" s="832" t="s">
        <v>3</v>
      </c>
      <c r="R908" s="833">
        <f>+'MILCON Inflation Table'!$F$17</f>
        <v>0.9432470865927236</v>
      </c>
      <c r="S908" s="834"/>
      <c r="T908" s="412"/>
    </row>
    <row r="909" spans="1:20" ht="30" customHeight="1" x14ac:dyDescent="0.25">
      <c r="A909" s="61" t="s">
        <v>574</v>
      </c>
      <c r="B909" s="236" t="s">
        <v>931</v>
      </c>
      <c r="C909" s="237"/>
      <c r="D909" s="238"/>
      <c r="E909" s="781">
        <f>+P900</f>
        <v>422.88</v>
      </c>
      <c r="F909" s="644" t="s">
        <v>11</v>
      </c>
      <c r="G909" s="829"/>
      <c r="H909" s="634"/>
      <c r="I909" s="751">
        <f>+R885</f>
        <v>1.04</v>
      </c>
      <c r="J909" s="751">
        <f>+S885</f>
        <v>1.0490196078431373</v>
      </c>
      <c r="K909" s="530">
        <f>+E909*J909*I909</f>
        <v>461.35378823529413</v>
      </c>
      <c r="L909" s="61" t="s">
        <v>38</v>
      </c>
      <c r="M909" s="1067"/>
      <c r="N909" s="420"/>
      <c r="O909"/>
      <c r="P909" s="412"/>
      <c r="Q909" s="391"/>
      <c r="R909" s="391"/>
      <c r="S909" s="391"/>
      <c r="T909" s="412"/>
    </row>
    <row r="910" spans="1:20" ht="30" customHeight="1" x14ac:dyDescent="0.25">
      <c r="A910" s="61">
        <v>93410</v>
      </c>
      <c r="B910" s="236" t="s">
        <v>971</v>
      </c>
      <c r="C910" s="237"/>
      <c r="D910" s="238"/>
      <c r="E910" s="781">
        <f>+P905</f>
        <v>8</v>
      </c>
      <c r="F910" s="644" t="s">
        <v>307</v>
      </c>
      <c r="G910" s="815">
        <v>277.9375</v>
      </c>
      <c r="H910" s="634" t="s">
        <v>927</v>
      </c>
      <c r="I910" s="821">
        <f>+R905</f>
        <v>0.9432470865927236</v>
      </c>
      <c r="J910" s="20"/>
      <c r="K910" s="530">
        <f>+E910*G910*I910</f>
        <v>2097.309897038921</v>
      </c>
      <c r="L910" s="61" t="s">
        <v>38</v>
      </c>
      <c r="M910" s="1067"/>
      <c r="N910" s="420"/>
      <c r="O910"/>
      <c r="P910" s="412"/>
      <c r="Q910" s="391"/>
      <c r="R910" s="391"/>
      <c r="S910" s="391"/>
      <c r="T910" s="393"/>
    </row>
    <row r="911" spans="1:20" ht="30" customHeight="1" x14ac:dyDescent="0.25">
      <c r="A911" s="61">
        <v>93210</v>
      </c>
      <c r="B911" s="236" t="s">
        <v>972</v>
      </c>
      <c r="C911" s="237"/>
      <c r="D911" s="238"/>
      <c r="E911" s="781">
        <f>+P907</f>
        <v>44.901000000000003</v>
      </c>
      <c r="F911" s="644" t="s">
        <v>307</v>
      </c>
      <c r="G911" s="815">
        <v>27.8125</v>
      </c>
      <c r="H911" s="634" t="s">
        <v>927</v>
      </c>
      <c r="I911" s="821">
        <f>+R907</f>
        <v>0.9432470865927236</v>
      </c>
      <c r="J911" s="20"/>
      <c r="K911" s="530">
        <f>+E911*G911*I911</f>
        <v>1177.9355099137156</v>
      </c>
      <c r="L911" s="61" t="s">
        <v>38</v>
      </c>
      <c r="M911" s="1067"/>
      <c r="N911" s="420"/>
      <c r="O911"/>
      <c r="P911" s="412"/>
      <c r="Q911" s="391"/>
      <c r="T911" s="393"/>
    </row>
    <row r="912" spans="1:20" ht="30" customHeight="1" x14ac:dyDescent="0.25">
      <c r="A912" s="61"/>
      <c r="B912" s="192"/>
      <c r="C912" s="192"/>
      <c r="D912" s="192"/>
      <c r="E912" s="530"/>
      <c r="F912" s="61"/>
      <c r="G912" s="817"/>
      <c r="H912" s="646"/>
      <c r="I912" s="20"/>
      <c r="J912" s="20" t="s">
        <v>646</v>
      </c>
      <c r="K912" s="530">
        <f>SUM(K904:K911)</f>
        <v>91273.597955972276</v>
      </c>
      <c r="L912" s="61" t="s">
        <v>38</v>
      </c>
      <c r="M912" s="1067"/>
      <c r="N912" s="420"/>
      <c r="O912"/>
      <c r="P912" s="412"/>
      <c r="Q912" s="391"/>
      <c r="T912" s="393"/>
    </row>
    <row r="913" spans="1:20" ht="30" customHeight="1" thickBot="1" x14ac:dyDescent="0.3">
      <c r="A913" s="61"/>
      <c r="B913" s="61"/>
      <c r="C913" s="63"/>
      <c r="D913" s="63"/>
      <c r="E913" s="63"/>
      <c r="F913" s="63"/>
      <c r="G913" s="445" t="s">
        <v>537</v>
      </c>
      <c r="H913" s="63"/>
      <c r="I913" s="18"/>
      <c r="J913" s="361">
        <f>VLOOKUP(B902,'Mil Cost Premiums for RUCs'!$A$4:$R$265,18,FALSE)</f>
        <v>1.0485669999999998</v>
      </c>
      <c r="K913" s="21">
        <f>+K912*J913</f>
        <v>95706.482787899964</v>
      </c>
      <c r="L913" s="61" t="s">
        <v>38</v>
      </c>
      <c r="M913" s="1067"/>
      <c r="N913" s="420"/>
      <c r="O913"/>
      <c r="P913" s="412"/>
      <c r="Q913" s="391"/>
      <c r="T913" s="393"/>
    </row>
    <row r="914" spans="1:20" ht="30" customHeight="1" thickBot="1" x14ac:dyDescent="0.3">
      <c r="A914" s="76"/>
      <c r="B914" s="77"/>
      <c r="C914" s="77"/>
      <c r="D914" s="77"/>
      <c r="E914" s="77"/>
      <c r="F914" s="77"/>
      <c r="G914" s="77"/>
      <c r="H914" s="77"/>
      <c r="I914" s="77"/>
      <c r="J914" s="77"/>
      <c r="K914" s="77"/>
      <c r="L914" s="78"/>
      <c r="M914" s="1067"/>
      <c r="N914" s="420"/>
      <c r="O914"/>
      <c r="P914" s="412"/>
      <c r="Q914" s="391"/>
      <c r="T914" s="393"/>
    </row>
    <row r="915" spans="1:20" ht="75" customHeight="1" x14ac:dyDescent="0.25">
      <c r="A915" s="30" t="s">
        <v>288</v>
      </c>
      <c r="B915" s="31">
        <v>1754</v>
      </c>
      <c r="C915" s="161" t="s">
        <v>973</v>
      </c>
      <c r="D915" s="162"/>
      <c r="E915" s="36" t="s">
        <v>291</v>
      </c>
      <c r="F915" s="37" t="s">
        <v>38</v>
      </c>
      <c r="G915" s="163" t="s">
        <v>912</v>
      </c>
      <c r="H915" s="487">
        <v>32</v>
      </c>
      <c r="I915" s="36" t="s">
        <v>292</v>
      </c>
      <c r="J915" s="38" t="s">
        <v>3400</v>
      </c>
      <c r="K915" s="38"/>
      <c r="L915" s="389"/>
      <c r="M915" s="1067"/>
      <c r="N915" s="420"/>
      <c r="O915"/>
      <c r="P915" s="412"/>
      <c r="Q915" s="391"/>
      <c r="T915" s="393"/>
    </row>
    <row r="916" spans="1:20" ht="30" customHeight="1" x14ac:dyDescent="0.25">
      <c r="A916" s="44" t="s">
        <v>913</v>
      </c>
      <c r="B916" s="490" t="s">
        <v>560</v>
      </c>
      <c r="C916" s="491"/>
      <c r="D916" s="492"/>
      <c r="E916" s="793" t="s">
        <v>519</v>
      </c>
      <c r="F916" s="793" t="s">
        <v>561</v>
      </c>
      <c r="G916" s="626" t="s">
        <v>562</v>
      </c>
      <c r="H916" s="627"/>
      <c r="I916" s="181" t="s">
        <v>530</v>
      </c>
      <c r="J916" s="675" t="s">
        <v>533</v>
      </c>
      <c r="K916" s="507" t="s">
        <v>521</v>
      </c>
      <c r="L916" s="508"/>
      <c r="M916" s="1067"/>
      <c r="N916" s="420"/>
      <c r="O916"/>
      <c r="P916" s="412"/>
      <c r="Q916" s="391"/>
      <c r="T916" s="393"/>
    </row>
    <row r="917" spans="1:20" ht="30" customHeight="1" x14ac:dyDescent="0.25">
      <c r="A917" s="61" t="s">
        <v>849</v>
      </c>
      <c r="B917" s="236" t="s">
        <v>974</v>
      </c>
      <c r="C917" s="237"/>
      <c r="D917" s="238"/>
      <c r="E917" s="781">
        <f>+P886</f>
        <v>8.8450000000000006</v>
      </c>
      <c r="F917" s="61" t="s">
        <v>9</v>
      </c>
      <c r="G917" s="797">
        <f>2*62</f>
        <v>124</v>
      </c>
      <c r="H917" s="634" t="s">
        <v>915</v>
      </c>
      <c r="I917" s="751">
        <f>+R886</f>
        <v>1.04</v>
      </c>
      <c r="J917" s="751">
        <f>+S886</f>
        <v>1.0490196078431373</v>
      </c>
      <c r="K917" s="530">
        <f>+E917*G917*I917*J917</f>
        <v>1196.5654745098041</v>
      </c>
      <c r="L917" s="61" t="s">
        <v>38</v>
      </c>
      <c r="M917" s="1067"/>
      <c r="N917" s="420"/>
      <c r="O917"/>
      <c r="P917" s="412"/>
      <c r="Q917" s="391"/>
      <c r="T917" s="393"/>
    </row>
    <row r="918" spans="1:20" ht="30" customHeight="1" x14ac:dyDescent="0.25">
      <c r="A918" s="61" t="s">
        <v>916</v>
      </c>
      <c r="B918" s="236" t="s">
        <v>919</v>
      </c>
      <c r="C918" s="237"/>
      <c r="D918" s="238"/>
      <c r="E918" s="781">
        <f>+P892</f>
        <v>316</v>
      </c>
      <c r="F918" s="644" t="s">
        <v>11</v>
      </c>
      <c r="G918" s="797">
        <v>2</v>
      </c>
      <c r="H918" s="634" t="s">
        <v>918</v>
      </c>
      <c r="I918" s="751">
        <f>+R892</f>
        <v>1.02</v>
      </c>
      <c r="J918" s="751">
        <f>+S892</f>
        <v>1.0490196078431373</v>
      </c>
      <c r="K918" s="530">
        <f>+E918*G918*I918*J918</f>
        <v>676.24</v>
      </c>
      <c r="L918" s="61" t="s">
        <v>38</v>
      </c>
      <c r="M918" s="1067"/>
      <c r="N918" s="420"/>
      <c r="O918"/>
      <c r="P918" s="412"/>
      <c r="Q918" s="391"/>
      <c r="T918" s="393"/>
    </row>
    <row r="919" spans="1:20" ht="30" customHeight="1" x14ac:dyDescent="0.25">
      <c r="A919" s="61" t="s">
        <v>920</v>
      </c>
      <c r="B919" s="236" t="s">
        <v>921</v>
      </c>
      <c r="C919" s="237"/>
      <c r="D919" s="238"/>
      <c r="E919" s="781">
        <f>+P895</f>
        <v>137.85</v>
      </c>
      <c r="F919" s="644" t="s">
        <v>11</v>
      </c>
      <c r="G919" s="797">
        <v>4</v>
      </c>
      <c r="H919" s="634" t="s">
        <v>918</v>
      </c>
      <c r="I919" s="751">
        <f>+R895</f>
        <v>1.02</v>
      </c>
      <c r="J919" s="751">
        <f>+S895</f>
        <v>1.0490196078431373</v>
      </c>
      <c r="K919" s="530">
        <f>+E919*G919*I919*J919</f>
        <v>589.99800000000005</v>
      </c>
      <c r="L919" s="61" t="s">
        <v>38</v>
      </c>
      <c r="M919" s="1067"/>
      <c r="N919" s="420"/>
      <c r="O919"/>
      <c r="P919" s="412"/>
      <c r="Q919" s="391"/>
      <c r="T919" s="393"/>
    </row>
    <row r="920" spans="1:20" ht="30" customHeight="1" x14ac:dyDescent="0.25">
      <c r="A920" s="61" t="s">
        <v>922</v>
      </c>
      <c r="B920" s="236" t="s">
        <v>975</v>
      </c>
      <c r="C920" s="237"/>
      <c r="D920" s="238"/>
      <c r="E920" s="781">
        <f>+P896</f>
        <v>17.110000000000003</v>
      </c>
      <c r="F920" s="644" t="s">
        <v>7</v>
      </c>
      <c r="G920" s="797">
        <v>82</v>
      </c>
      <c r="H920" s="634" t="s">
        <v>924</v>
      </c>
      <c r="I920" s="751">
        <f>+R896</f>
        <v>1.02</v>
      </c>
      <c r="J920" s="751">
        <f>+S896</f>
        <v>1.0490196078431373</v>
      </c>
      <c r="K920" s="530">
        <f>+E920*G920*I920*J920</f>
        <v>1501.2314000000003</v>
      </c>
      <c r="L920" s="61" t="s">
        <v>38</v>
      </c>
      <c r="M920" s="1067"/>
      <c r="N920" s="420"/>
      <c r="O920"/>
      <c r="P920" s="412"/>
      <c r="Q920" s="391"/>
      <c r="T920" s="393"/>
    </row>
    <row r="921" spans="1:20" s="49" customFormat="1" ht="30" customHeight="1" x14ac:dyDescent="0.25">
      <c r="A921" s="61" t="s">
        <v>574</v>
      </c>
      <c r="B921" s="236" t="s">
        <v>931</v>
      </c>
      <c r="C921" s="237"/>
      <c r="D921" s="238"/>
      <c r="E921" s="781">
        <f>+P900</f>
        <v>422.88</v>
      </c>
      <c r="F921" s="644" t="s">
        <v>11</v>
      </c>
      <c r="G921" s="797"/>
      <c r="H921" s="634"/>
      <c r="I921" s="751">
        <f>+R885</f>
        <v>1.04</v>
      </c>
      <c r="J921" s="751">
        <f>+S885</f>
        <v>1.0490196078431373</v>
      </c>
      <c r="K921" s="530">
        <f>+E921*J921*I921</f>
        <v>461.35378823529413</v>
      </c>
      <c r="L921" s="61" t="s">
        <v>38</v>
      </c>
      <c r="M921" s="1897"/>
      <c r="N921" s="420"/>
      <c r="P921" s="412"/>
      <c r="Q921" s="391"/>
      <c r="T921" s="393"/>
    </row>
    <row r="922" spans="1:20" ht="30" customHeight="1" x14ac:dyDescent="0.25">
      <c r="A922" s="61">
        <v>93410</v>
      </c>
      <c r="B922" s="236" t="s">
        <v>976</v>
      </c>
      <c r="C922" s="237"/>
      <c r="D922" s="238"/>
      <c r="E922" s="781">
        <f>+P905</f>
        <v>8</v>
      </c>
      <c r="F922" s="644" t="s">
        <v>307</v>
      </c>
      <c r="G922" s="829">
        <f>4096/32</f>
        <v>128</v>
      </c>
      <c r="H922" s="634" t="s">
        <v>927</v>
      </c>
      <c r="I922" s="821">
        <f>+R905</f>
        <v>0.9432470865927236</v>
      </c>
      <c r="J922" s="20"/>
      <c r="K922" s="530">
        <f>+E922*G922*I922</f>
        <v>965.88501667094897</v>
      </c>
      <c r="L922" s="61" t="s">
        <v>38</v>
      </c>
      <c r="M922" s="1067"/>
      <c r="N922" s="420"/>
      <c r="O922"/>
      <c r="P922" s="412"/>
      <c r="Q922" s="391"/>
      <c r="T922" s="393"/>
    </row>
    <row r="923" spans="1:20" ht="30" customHeight="1" x14ac:dyDescent="0.25">
      <c r="A923" s="61">
        <v>93210</v>
      </c>
      <c r="B923" s="236" t="s">
        <v>968</v>
      </c>
      <c r="C923" s="237"/>
      <c r="D923" s="238"/>
      <c r="E923" s="781">
        <f>+P907</f>
        <v>44.901000000000003</v>
      </c>
      <c r="F923" s="644" t="s">
        <v>307</v>
      </c>
      <c r="G923" s="815">
        <v>12.78125</v>
      </c>
      <c r="H923" s="634" t="s">
        <v>927</v>
      </c>
      <c r="I923" s="821">
        <f>+R907</f>
        <v>0.9432470865927236</v>
      </c>
      <c r="J923" s="20"/>
      <c r="K923" s="530">
        <f>+E923*G923*I923</f>
        <v>541.3209253423704</v>
      </c>
      <c r="L923" s="61" t="s">
        <v>38</v>
      </c>
      <c r="M923" s="1067"/>
      <c r="N923" s="420"/>
      <c r="O923"/>
      <c r="P923" s="412"/>
      <c r="Q923" s="391"/>
      <c r="T923" s="393"/>
    </row>
    <row r="924" spans="1:20" ht="30" customHeight="1" x14ac:dyDescent="0.25">
      <c r="A924" s="61"/>
      <c r="B924" s="192"/>
      <c r="C924" s="192"/>
      <c r="D924" s="192"/>
      <c r="E924" s="530"/>
      <c r="F924" s="61"/>
      <c r="G924" s="817"/>
      <c r="H924" s="646"/>
      <c r="I924" s="20"/>
      <c r="J924" s="20" t="s">
        <v>646</v>
      </c>
      <c r="K924" s="530">
        <f>SUM(K917:K923)</f>
        <v>5932.5946047584175</v>
      </c>
      <c r="L924" s="61" t="s">
        <v>38</v>
      </c>
      <c r="M924" s="1067"/>
      <c r="N924" s="420"/>
      <c r="O924"/>
      <c r="P924" s="412"/>
      <c r="Q924" s="391"/>
      <c r="T924" s="393"/>
    </row>
    <row r="925" spans="1:20" ht="30" customHeight="1" thickBot="1" x14ac:dyDescent="0.3">
      <c r="A925" s="61"/>
      <c r="B925" s="61"/>
      <c r="C925" s="63"/>
      <c r="D925" s="63"/>
      <c r="E925" s="63"/>
      <c r="F925" s="63"/>
      <c r="G925" s="445" t="s">
        <v>537</v>
      </c>
      <c r="H925" s="63"/>
      <c r="I925" s="18"/>
      <c r="J925" s="361">
        <f>VLOOKUP(B915,'Mil Cost Premiums for RUCs'!$A$4:$R$265,18,FALSE)</f>
        <v>1.0485669999999998</v>
      </c>
      <c r="K925" s="21">
        <f>+K924*J925</f>
        <v>6220.7229269277186</v>
      </c>
      <c r="L925" s="61" t="s">
        <v>38</v>
      </c>
      <c r="M925" s="1067"/>
      <c r="N925" s="420"/>
      <c r="O925"/>
      <c r="P925" s="412"/>
      <c r="Q925" s="391"/>
      <c r="T925" s="393"/>
    </row>
    <row r="926" spans="1:20" ht="30" customHeight="1" thickBot="1" x14ac:dyDescent="0.3">
      <c r="A926" s="76"/>
      <c r="B926" s="77"/>
      <c r="C926" s="77"/>
      <c r="D926" s="77"/>
      <c r="E926" s="77"/>
      <c r="F926" s="77"/>
      <c r="G926" s="77"/>
      <c r="H926" s="77"/>
      <c r="I926" s="77"/>
      <c r="J926" s="77"/>
      <c r="K926" s="77"/>
      <c r="L926" s="78"/>
      <c r="M926" s="1067"/>
      <c r="N926" s="420"/>
      <c r="O926"/>
      <c r="P926" s="412"/>
      <c r="Q926" s="391"/>
      <c r="T926" s="393"/>
    </row>
    <row r="927" spans="1:20" ht="75" customHeight="1" x14ac:dyDescent="0.25">
      <c r="A927" s="30" t="s">
        <v>288</v>
      </c>
      <c r="B927" s="31">
        <v>1755</v>
      </c>
      <c r="C927" s="161" t="s">
        <v>977</v>
      </c>
      <c r="D927" s="162"/>
      <c r="E927" s="36" t="s">
        <v>291</v>
      </c>
      <c r="F927" s="37" t="s">
        <v>38</v>
      </c>
      <c r="G927" s="163" t="s">
        <v>978</v>
      </c>
      <c r="H927" s="487">
        <v>32</v>
      </c>
      <c r="I927" s="36" t="s">
        <v>292</v>
      </c>
      <c r="J927" s="38" t="s">
        <v>3385</v>
      </c>
      <c r="K927" s="38"/>
      <c r="L927" s="389"/>
      <c r="M927" s="1067"/>
      <c r="N927" s="420"/>
      <c r="O927"/>
      <c r="P927" s="412"/>
      <c r="Q927" s="391"/>
      <c r="T927" s="393"/>
    </row>
    <row r="928" spans="1:20" ht="30" customHeight="1" x14ac:dyDescent="0.25">
      <c r="A928" s="44" t="s">
        <v>913</v>
      </c>
      <c r="B928" s="490" t="s">
        <v>560</v>
      </c>
      <c r="C928" s="491"/>
      <c r="D928" s="492"/>
      <c r="E928" s="793" t="s">
        <v>519</v>
      </c>
      <c r="F928" s="793" t="s">
        <v>561</v>
      </c>
      <c r="G928" s="626" t="s">
        <v>562</v>
      </c>
      <c r="H928" s="627"/>
      <c r="I928" s="400" t="s">
        <v>530</v>
      </c>
      <c r="J928" s="675" t="s">
        <v>533</v>
      </c>
      <c r="K928" s="507" t="s">
        <v>521</v>
      </c>
      <c r="L928" s="508"/>
      <c r="M928" s="1067"/>
      <c r="N928" s="420"/>
      <c r="O928"/>
      <c r="P928" s="412"/>
      <c r="Q928" s="391"/>
      <c r="T928" s="393"/>
    </row>
    <row r="929" spans="1:20" ht="30" customHeight="1" x14ac:dyDescent="0.25">
      <c r="A929" s="61" t="s">
        <v>916</v>
      </c>
      <c r="B929" s="236" t="s">
        <v>919</v>
      </c>
      <c r="C929" s="237"/>
      <c r="D929" s="238"/>
      <c r="E929" s="781">
        <f>+P892</f>
        <v>316</v>
      </c>
      <c r="F929" s="644" t="s">
        <v>11</v>
      </c>
      <c r="G929" s="797">
        <v>1</v>
      </c>
      <c r="H929" s="634" t="s">
        <v>918</v>
      </c>
      <c r="I929" s="751">
        <f>+R892</f>
        <v>1.02</v>
      </c>
      <c r="J929" s="751">
        <f>+S892</f>
        <v>1.0490196078431373</v>
      </c>
      <c r="K929" s="530">
        <f>+E929*G929*I929*J929</f>
        <v>338.12</v>
      </c>
      <c r="L929" s="61" t="s">
        <v>38</v>
      </c>
      <c r="M929" s="1067"/>
      <c r="N929" s="420"/>
      <c r="O929"/>
      <c r="P929" s="412"/>
      <c r="Q929" s="391"/>
      <c r="T929" s="393"/>
    </row>
    <row r="930" spans="1:20" ht="30" customHeight="1" x14ac:dyDescent="0.25">
      <c r="A930" s="61" t="s">
        <v>920</v>
      </c>
      <c r="B930" s="236" t="s">
        <v>921</v>
      </c>
      <c r="C930" s="237"/>
      <c r="D930" s="238"/>
      <c r="E930" s="781">
        <f>+P895</f>
        <v>137.85</v>
      </c>
      <c r="F930" s="644" t="s">
        <v>11</v>
      </c>
      <c r="G930" s="794">
        <v>4</v>
      </c>
      <c r="H930" s="634" t="s">
        <v>918</v>
      </c>
      <c r="I930" s="751">
        <f>+R895</f>
        <v>1.02</v>
      </c>
      <c r="J930" s="751">
        <f>+S895</f>
        <v>1.0490196078431373</v>
      </c>
      <c r="K930" s="530">
        <f>+E930*G930*I930*J930</f>
        <v>589.99800000000005</v>
      </c>
      <c r="L930" s="61" t="s">
        <v>38</v>
      </c>
      <c r="M930" s="1852"/>
      <c r="N930" s="420"/>
      <c r="O930"/>
      <c r="P930" s="412"/>
      <c r="Q930" s="391"/>
      <c r="T930" s="393"/>
    </row>
    <row r="931" spans="1:20" ht="30" customHeight="1" x14ac:dyDescent="0.25">
      <c r="A931" s="61" t="s">
        <v>922</v>
      </c>
      <c r="B931" s="236" t="s">
        <v>979</v>
      </c>
      <c r="C931" s="237"/>
      <c r="D931" s="238"/>
      <c r="E931" s="781">
        <f>+P897</f>
        <v>14.6</v>
      </c>
      <c r="F931" s="644" t="s">
        <v>7</v>
      </c>
      <c r="G931" s="797">
        <v>525</v>
      </c>
      <c r="H931" s="634" t="s">
        <v>924</v>
      </c>
      <c r="I931" s="751">
        <f>+R897</f>
        <v>1.02</v>
      </c>
      <c r="J931" s="751">
        <f>+S897</f>
        <v>1.0490196078431373</v>
      </c>
      <c r="K931" s="530">
        <f>+E931*G931*I931*J931</f>
        <v>8201.5500000000011</v>
      </c>
      <c r="L931" s="61" t="s">
        <v>38</v>
      </c>
      <c r="M931" s="1067"/>
      <c r="N931" s="420"/>
      <c r="O931"/>
      <c r="P931" s="412"/>
      <c r="Q931" s="391"/>
      <c r="T931" s="393"/>
    </row>
    <row r="932" spans="1:20" ht="30" customHeight="1" x14ac:dyDescent="0.25">
      <c r="A932" s="61">
        <v>93410</v>
      </c>
      <c r="B932" s="236" t="s">
        <v>980</v>
      </c>
      <c r="C932" s="237"/>
      <c r="D932" s="238"/>
      <c r="E932" s="781">
        <f>+P905</f>
        <v>8</v>
      </c>
      <c r="F932" s="644" t="s">
        <v>307</v>
      </c>
      <c r="G932" s="815">
        <v>277.9375</v>
      </c>
      <c r="H932" s="634" t="s">
        <v>927</v>
      </c>
      <c r="I932" s="821">
        <f>+R905</f>
        <v>0.9432470865927236</v>
      </c>
      <c r="J932" s="20"/>
      <c r="K932" s="530">
        <f>+E932*G932*I932</f>
        <v>2097.309897038921</v>
      </c>
      <c r="L932" s="61" t="s">
        <v>38</v>
      </c>
      <c r="M932" s="1067"/>
      <c r="N932" s="420"/>
      <c r="O932"/>
      <c r="P932" s="412"/>
      <c r="Q932" s="391"/>
      <c r="T932" s="393"/>
    </row>
    <row r="933" spans="1:20" ht="30" customHeight="1" x14ac:dyDescent="0.25">
      <c r="A933" s="61"/>
      <c r="B933" s="192"/>
      <c r="C933" s="192"/>
      <c r="D933" s="192"/>
      <c r="E933" s="530"/>
      <c r="F933" s="61"/>
      <c r="G933" s="817"/>
      <c r="H933" s="646"/>
      <c r="I933" s="20"/>
      <c r="J933" s="20" t="s">
        <v>646</v>
      </c>
      <c r="K933" s="530">
        <f>SUM(K929:K932)</f>
        <v>11226.977897038923</v>
      </c>
      <c r="L933" s="61" t="s">
        <v>38</v>
      </c>
      <c r="M933" s="1067"/>
      <c r="N933" s="420"/>
      <c r="O933"/>
      <c r="P933" s="412"/>
      <c r="Q933" s="391"/>
      <c r="T933" s="393"/>
    </row>
    <row r="934" spans="1:20" s="49" customFormat="1" ht="30" customHeight="1" thickBot="1" x14ac:dyDescent="0.3">
      <c r="A934" s="61"/>
      <c r="B934" s="61"/>
      <c r="C934" s="63"/>
      <c r="D934" s="63"/>
      <c r="E934" s="63"/>
      <c r="F934" s="63"/>
      <c r="G934" s="445" t="s">
        <v>537</v>
      </c>
      <c r="H934" s="63"/>
      <c r="I934" s="18"/>
      <c r="J934" s="361">
        <f>VLOOKUP(B927,'Mil Cost Premiums for RUCs'!$A$4:$R$265,18,FALSE)</f>
        <v>1.0485669999999998</v>
      </c>
      <c r="K934" s="21">
        <f>+K933*J934</f>
        <v>11772.23853256441</v>
      </c>
      <c r="L934" s="61" t="s">
        <v>38</v>
      </c>
      <c r="M934" s="1897"/>
      <c r="N934" s="420"/>
      <c r="P934" s="412"/>
      <c r="Q934" s="391"/>
      <c r="T934" s="393"/>
    </row>
    <row r="935" spans="1:20" ht="30" customHeight="1" thickBot="1" x14ac:dyDescent="0.3">
      <c r="A935" s="76"/>
      <c r="B935" s="77"/>
      <c r="C935" s="77"/>
      <c r="D935" s="77"/>
      <c r="E935" s="77"/>
      <c r="F935" s="77"/>
      <c r="G935" s="77"/>
      <c r="H935" s="77"/>
      <c r="I935" s="77"/>
      <c r="J935" s="77"/>
      <c r="K935" s="77"/>
      <c r="L935" s="78"/>
      <c r="M935" s="1067"/>
      <c r="N935" s="420"/>
      <c r="O935"/>
      <c r="P935" s="412"/>
      <c r="Q935" s="391"/>
      <c r="T935" s="393"/>
    </row>
    <row r="936" spans="1:20" ht="75" customHeight="1" x14ac:dyDescent="0.25">
      <c r="A936" s="30" t="s">
        <v>288</v>
      </c>
      <c r="B936" s="31">
        <v>1756</v>
      </c>
      <c r="C936" s="161" t="s">
        <v>981</v>
      </c>
      <c r="D936" s="162"/>
      <c r="E936" s="36" t="s">
        <v>291</v>
      </c>
      <c r="F936" s="37" t="s">
        <v>38</v>
      </c>
      <c r="G936" s="163" t="s">
        <v>982</v>
      </c>
      <c r="H936" s="487">
        <v>4</v>
      </c>
      <c r="I936" s="36" t="s">
        <v>292</v>
      </c>
      <c r="J936" s="38" t="s">
        <v>3385</v>
      </c>
      <c r="K936" s="38"/>
      <c r="L936" s="389"/>
      <c r="M936" s="1067"/>
      <c r="N936" s="420"/>
      <c r="O936"/>
      <c r="P936" s="412"/>
      <c r="Q936" s="391"/>
      <c r="T936" s="393"/>
    </row>
    <row r="937" spans="1:20" ht="30" customHeight="1" x14ac:dyDescent="0.25">
      <c r="A937" s="44" t="s">
        <v>913</v>
      </c>
      <c r="B937" s="490" t="s">
        <v>560</v>
      </c>
      <c r="C937" s="491"/>
      <c r="D937" s="492"/>
      <c r="E937" s="793" t="s">
        <v>519</v>
      </c>
      <c r="F937" s="793" t="s">
        <v>561</v>
      </c>
      <c r="G937" s="626" t="s">
        <v>562</v>
      </c>
      <c r="H937" s="627"/>
      <c r="I937" s="181" t="s">
        <v>530</v>
      </c>
      <c r="J937" s="675" t="s">
        <v>533</v>
      </c>
      <c r="K937" s="507" t="s">
        <v>521</v>
      </c>
      <c r="L937" s="508"/>
      <c r="M937" s="1067"/>
      <c r="N937" s="420"/>
      <c r="O937"/>
      <c r="P937" s="412"/>
      <c r="Q937" s="391"/>
      <c r="T937" s="393"/>
    </row>
    <row r="938" spans="1:20" ht="30" customHeight="1" x14ac:dyDescent="0.25">
      <c r="A938" s="44"/>
      <c r="B938" s="192" t="s">
        <v>983</v>
      </c>
      <c r="C938" s="192"/>
      <c r="D938" s="192"/>
      <c r="E938" s="793"/>
      <c r="F938" s="793"/>
      <c r="G938" s="835"/>
      <c r="H938" s="836"/>
      <c r="I938" s="211"/>
      <c r="J938" s="211"/>
      <c r="K938" s="793"/>
      <c r="L938" s="793"/>
      <c r="M938" s="1067"/>
      <c r="N938" s="420"/>
      <c r="O938"/>
      <c r="P938" s="412"/>
      <c r="Q938" s="391"/>
      <c r="T938" s="393"/>
    </row>
    <row r="939" spans="1:20" ht="30" customHeight="1" x14ac:dyDescent="0.25">
      <c r="A939" s="61" t="s">
        <v>849</v>
      </c>
      <c r="B939" s="192" t="s">
        <v>984</v>
      </c>
      <c r="C939" s="192"/>
      <c r="D939" s="192"/>
      <c r="E939" s="781">
        <f>+P886</f>
        <v>8.8450000000000006</v>
      </c>
      <c r="F939" s="61" t="s">
        <v>9</v>
      </c>
      <c r="G939" s="797">
        <f>4*62</f>
        <v>248</v>
      </c>
      <c r="H939" s="634" t="s">
        <v>915</v>
      </c>
      <c r="I939" s="751">
        <f>+R886</f>
        <v>1.04</v>
      </c>
      <c r="J939" s="751">
        <f>+S886</f>
        <v>1.0490196078431373</v>
      </c>
      <c r="K939" s="530">
        <f t="shared" ref="K939:K947" si="3">+E939*G939*I939*J939</f>
        <v>2393.1309490196081</v>
      </c>
      <c r="L939" s="61" t="s">
        <v>38</v>
      </c>
      <c r="M939" s="1067"/>
      <c r="N939" s="420"/>
      <c r="O939"/>
      <c r="P939" s="412"/>
      <c r="Q939" s="391"/>
      <c r="T939" s="393"/>
    </row>
    <row r="940" spans="1:20" ht="30" customHeight="1" x14ac:dyDescent="0.25">
      <c r="A940" s="61" t="s">
        <v>780</v>
      </c>
      <c r="B940" s="192" t="s">
        <v>985</v>
      </c>
      <c r="C940" s="192"/>
      <c r="D940" s="192"/>
      <c r="E940" s="781">
        <f>+P888</f>
        <v>17.95</v>
      </c>
      <c r="F940" s="61" t="s">
        <v>9</v>
      </c>
      <c r="G940" s="797">
        <f>80.7*6</f>
        <v>484.20000000000005</v>
      </c>
      <c r="H940" s="634" t="s">
        <v>915</v>
      </c>
      <c r="I940" s="751">
        <f>+R888</f>
        <v>1.04</v>
      </c>
      <c r="J940" s="751">
        <f>+S888</f>
        <v>1.0490196078431373</v>
      </c>
      <c r="K940" s="530">
        <f t="shared" si="3"/>
        <v>9482.1360705882362</v>
      </c>
      <c r="L940" s="61" t="s">
        <v>38</v>
      </c>
      <c r="M940" s="1067"/>
      <c r="N940" s="420"/>
      <c r="O940"/>
      <c r="P940" s="412"/>
      <c r="Q940" s="391"/>
      <c r="T940" s="393"/>
    </row>
    <row r="941" spans="1:20" ht="30" customHeight="1" x14ac:dyDescent="0.25">
      <c r="A941" s="61" t="s">
        <v>916</v>
      </c>
      <c r="B941" s="192" t="s">
        <v>917</v>
      </c>
      <c r="C941" s="192"/>
      <c r="D941" s="192"/>
      <c r="E941" s="781">
        <f>+P890</f>
        <v>439.5</v>
      </c>
      <c r="F941" s="644" t="s">
        <v>11</v>
      </c>
      <c r="G941" s="797">
        <v>10</v>
      </c>
      <c r="H941" s="634" t="s">
        <v>918</v>
      </c>
      <c r="I941" s="751">
        <f>+R890</f>
        <v>1.02</v>
      </c>
      <c r="J941" s="751">
        <f>+S890</f>
        <v>1.0490196078431373</v>
      </c>
      <c r="K941" s="530">
        <f t="shared" si="3"/>
        <v>4702.6499999999996</v>
      </c>
      <c r="L941" s="61" t="s">
        <v>38</v>
      </c>
      <c r="M941" s="1067"/>
      <c r="N941" s="420"/>
      <c r="O941"/>
      <c r="P941" s="412"/>
      <c r="Q941" s="391"/>
      <c r="T941" s="393"/>
    </row>
    <row r="942" spans="1:20" ht="30" customHeight="1" x14ac:dyDescent="0.25">
      <c r="A942" s="61" t="s">
        <v>760</v>
      </c>
      <c r="B942" s="192" t="s">
        <v>958</v>
      </c>
      <c r="C942" s="192"/>
      <c r="D942" s="192"/>
      <c r="E942" s="781">
        <f>+P898</f>
        <v>17.125</v>
      </c>
      <c r="F942" s="644" t="s">
        <v>7</v>
      </c>
      <c r="G942" s="797">
        <f>6*50</f>
        <v>300</v>
      </c>
      <c r="H942" s="634" t="s">
        <v>924</v>
      </c>
      <c r="I942" s="751">
        <f>+R898</f>
        <v>1.02</v>
      </c>
      <c r="J942" s="751">
        <f>+S898</f>
        <v>1.0490196078431373</v>
      </c>
      <c r="K942" s="530">
        <f t="shared" si="3"/>
        <v>5497.125</v>
      </c>
      <c r="L942" s="61" t="s">
        <v>38</v>
      </c>
      <c r="M942" s="1067"/>
      <c r="N942" s="420"/>
      <c r="O942"/>
      <c r="P942" s="412"/>
      <c r="Q942" s="391"/>
      <c r="T942" s="393"/>
    </row>
    <row r="943" spans="1:20" ht="30" customHeight="1" x14ac:dyDescent="0.25">
      <c r="A943" s="61" t="s">
        <v>760</v>
      </c>
      <c r="B943" s="192" t="s">
        <v>986</v>
      </c>
      <c r="C943" s="192"/>
      <c r="D943" s="192"/>
      <c r="E943" s="781">
        <f>+P899</f>
        <v>2617.5</v>
      </c>
      <c r="F943" s="644" t="s">
        <v>11</v>
      </c>
      <c r="G943" s="797">
        <v>6</v>
      </c>
      <c r="H943" s="634" t="s">
        <v>934</v>
      </c>
      <c r="I943" s="751">
        <f>+R899</f>
        <v>1.02</v>
      </c>
      <c r="J943" s="751">
        <f>+S899</f>
        <v>1.0490196078431373</v>
      </c>
      <c r="K943" s="530">
        <f t="shared" si="3"/>
        <v>16804.350000000002</v>
      </c>
      <c r="L943" s="61" t="s">
        <v>38</v>
      </c>
      <c r="M943" s="1067"/>
      <c r="N943" s="420"/>
      <c r="O943"/>
      <c r="P943" s="412"/>
      <c r="Q943" s="391"/>
      <c r="T943" s="393"/>
    </row>
    <row r="944" spans="1:20" ht="30" customHeight="1" x14ac:dyDescent="0.25">
      <c r="A944" s="61" t="s">
        <v>916</v>
      </c>
      <c r="B944" s="192" t="s">
        <v>919</v>
      </c>
      <c r="C944" s="192"/>
      <c r="D944" s="192"/>
      <c r="E944" s="781">
        <f>+P892</f>
        <v>316</v>
      </c>
      <c r="F944" s="644" t="s">
        <v>11</v>
      </c>
      <c r="G944" s="797">
        <v>10</v>
      </c>
      <c r="H944" s="634" t="s">
        <v>918</v>
      </c>
      <c r="I944" s="751">
        <f>+R892</f>
        <v>1.02</v>
      </c>
      <c r="J944" s="751">
        <f>+S892</f>
        <v>1.0490196078431373</v>
      </c>
      <c r="K944" s="530">
        <f t="shared" si="3"/>
        <v>3381.2000000000003</v>
      </c>
      <c r="L944" s="61" t="s">
        <v>38</v>
      </c>
      <c r="M944" s="1067"/>
      <c r="N944" s="420"/>
      <c r="O944"/>
      <c r="P944" s="412"/>
      <c r="Q944" s="391"/>
      <c r="T944" s="393"/>
    </row>
    <row r="945" spans="1:20" ht="30" customHeight="1" x14ac:dyDescent="0.25">
      <c r="A945" s="61" t="s">
        <v>920</v>
      </c>
      <c r="B945" s="192" t="s">
        <v>987</v>
      </c>
      <c r="C945" s="192"/>
      <c r="D945" s="192"/>
      <c r="E945" s="781">
        <f>+P895</f>
        <v>137.85</v>
      </c>
      <c r="F945" s="644" t="s">
        <v>11</v>
      </c>
      <c r="G945" s="797">
        <v>40</v>
      </c>
      <c r="H945" s="634" t="s">
        <v>918</v>
      </c>
      <c r="I945" s="751">
        <f>+R895</f>
        <v>1.02</v>
      </c>
      <c r="J945" s="751">
        <f>+S895</f>
        <v>1.0490196078431373</v>
      </c>
      <c r="K945" s="530">
        <f t="shared" si="3"/>
        <v>5899.98</v>
      </c>
      <c r="L945" s="61" t="s">
        <v>38</v>
      </c>
      <c r="M945" s="1067"/>
      <c r="N945" s="420"/>
      <c r="O945"/>
      <c r="P945" s="412"/>
      <c r="Q945" s="391"/>
      <c r="T945" s="393"/>
    </row>
    <row r="946" spans="1:20" s="49" customFormat="1" ht="30" customHeight="1" x14ac:dyDescent="0.25">
      <c r="A946" s="61" t="s">
        <v>922</v>
      </c>
      <c r="B946" s="192" t="s">
        <v>988</v>
      </c>
      <c r="C946" s="192"/>
      <c r="D946" s="192"/>
      <c r="E946" s="781">
        <f>+P896</f>
        <v>17.110000000000003</v>
      </c>
      <c r="F946" s="644" t="s">
        <v>7</v>
      </c>
      <c r="G946" s="829">
        <v>6412</v>
      </c>
      <c r="H946" s="634" t="s">
        <v>924</v>
      </c>
      <c r="I946" s="751">
        <f>+R896</f>
        <v>1.02</v>
      </c>
      <c r="J946" s="751">
        <f>+S896</f>
        <v>1.0490196078431373</v>
      </c>
      <c r="K946" s="530">
        <f t="shared" si="3"/>
        <v>117388.97240000003</v>
      </c>
      <c r="L946" s="61" t="s">
        <v>38</v>
      </c>
      <c r="M946" s="1897"/>
      <c r="N946" s="420"/>
      <c r="P946" s="412"/>
      <c r="Q946" s="391"/>
      <c r="T946" s="393"/>
    </row>
    <row r="947" spans="1:20" ht="30" customHeight="1" x14ac:dyDescent="0.25">
      <c r="A947" s="61" t="s">
        <v>574</v>
      </c>
      <c r="B947" s="236" t="s">
        <v>989</v>
      </c>
      <c r="C947" s="237"/>
      <c r="D947" s="238"/>
      <c r="E947" s="594">
        <f>+P889</f>
        <v>4.6849999999999996</v>
      </c>
      <c r="F947" s="644" t="s">
        <v>9</v>
      </c>
      <c r="G947" s="797">
        <f>32*9</f>
        <v>288</v>
      </c>
      <c r="H947" s="634" t="s">
        <v>915</v>
      </c>
      <c r="I947" s="751">
        <f>+R889</f>
        <v>1.04</v>
      </c>
      <c r="J947" s="751">
        <f>+S889</f>
        <v>1.0490196078431373</v>
      </c>
      <c r="K947" s="530">
        <f t="shared" si="3"/>
        <v>1472.0380235294117</v>
      </c>
      <c r="L947" s="61" t="s">
        <v>38</v>
      </c>
      <c r="M947" s="1067"/>
      <c r="N947" s="420"/>
      <c r="O947"/>
      <c r="P947" s="412"/>
      <c r="Q947" s="391"/>
      <c r="T947" s="393"/>
    </row>
    <row r="948" spans="1:20" ht="30" customHeight="1" x14ac:dyDescent="0.25">
      <c r="A948" s="61">
        <v>93410</v>
      </c>
      <c r="B948" s="236" t="s">
        <v>990</v>
      </c>
      <c r="C948" s="237"/>
      <c r="D948" s="238"/>
      <c r="E948" s="781">
        <f>+P905</f>
        <v>8</v>
      </c>
      <c r="F948" s="644" t="s">
        <v>307</v>
      </c>
      <c r="G948" s="815">
        <v>261.5</v>
      </c>
      <c r="H948" s="634" t="s">
        <v>927</v>
      </c>
      <c r="I948" s="821">
        <f>+R905</f>
        <v>0.9432470865927236</v>
      </c>
      <c r="J948" s="751"/>
      <c r="K948" s="530">
        <f>+E948*G948*I948</f>
        <v>1973.2729051519777</v>
      </c>
      <c r="L948" s="61" t="s">
        <v>38</v>
      </c>
      <c r="N948" s="420"/>
      <c r="O948"/>
      <c r="P948" s="412"/>
      <c r="Q948" s="391"/>
      <c r="T948" s="393"/>
    </row>
    <row r="949" spans="1:20" ht="30" customHeight="1" x14ac:dyDescent="0.25">
      <c r="A949" s="61"/>
      <c r="B949" s="192"/>
      <c r="C949" s="192"/>
      <c r="D949" s="192"/>
      <c r="E949" s="530"/>
      <c r="F949" s="61"/>
      <c r="G949" s="817"/>
      <c r="H949" s="646"/>
      <c r="I949" s="20"/>
      <c r="J949" s="20" t="s">
        <v>646</v>
      </c>
      <c r="K949" s="530">
        <f>SUM(K939:K948)</f>
        <v>168994.85534828922</v>
      </c>
      <c r="L949" s="61" t="s">
        <v>38</v>
      </c>
      <c r="M949" s="1900"/>
      <c r="N949" s="420"/>
      <c r="O949"/>
      <c r="P949" s="412"/>
      <c r="Q949" s="391"/>
      <c r="T949" s="393"/>
    </row>
    <row r="950" spans="1:20" ht="30" customHeight="1" thickBot="1" x14ac:dyDescent="0.3">
      <c r="A950" s="61"/>
      <c r="B950" s="61"/>
      <c r="C950" s="63"/>
      <c r="D950" s="63"/>
      <c r="E950" s="63"/>
      <c r="F950" s="63"/>
      <c r="G950" s="445" t="s">
        <v>537</v>
      </c>
      <c r="H950" s="63"/>
      <c r="I950" s="18"/>
      <c r="J950" s="361">
        <f>VLOOKUP(B936,'Mil Cost Premiums for RUCs'!$A$4:$R$265,18,FALSE)</f>
        <v>1.0485669999999998</v>
      </c>
      <c r="K950" s="21">
        <f>+K949*J950</f>
        <v>177202.42848798956</v>
      </c>
      <c r="L950" s="61" t="s">
        <v>38</v>
      </c>
      <c r="M950" s="1900"/>
      <c r="N950" s="420"/>
      <c r="O950"/>
      <c r="P950" s="412"/>
      <c r="Q950" s="391"/>
      <c r="T950" s="393"/>
    </row>
    <row r="951" spans="1:20" ht="30" customHeight="1" thickBot="1" x14ac:dyDescent="0.3">
      <c r="A951" s="76"/>
      <c r="B951" s="77"/>
      <c r="C951" s="77"/>
      <c r="D951" s="77"/>
      <c r="E951" s="77"/>
      <c r="F951" s="77"/>
      <c r="G951" s="77"/>
      <c r="H951" s="77"/>
      <c r="I951" s="77"/>
      <c r="J951" s="77"/>
      <c r="K951" s="77"/>
      <c r="L951" s="78"/>
      <c r="M951" s="1900"/>
      <c r="N951" s="420"/>
      <c r="O951"/>
      <c r="P951" s="412"/>
      <c r="Q951" s="391"/>
      <c r="T951" s="393"/>
    </row>
    <row r="952" spans="1:20" ht="75" customHeight="1" x14ac:dyDescent="0.25">
      <c r="A952" s="30" t="s">
        <v>288</v>
      </c>
      <c r="B952" s="31">
        <v>1757</v>
      </c>
      <c r="C952" s="161" t="s">
        <v>991</v>
      </c>
      <c r="D952" s="162"/>
      <c r="E952" s="36" t="s">
        <v>291</v>
      </c>
      <c r="F952" s="37" t="s">
        <v>38</v>
      </c>
      <c r="G952" s="163" t="s">
        <v>992</v>
      </c>
      <c r="H952" s="487">
        <v>15</v>
      </c>
      <c r="I952" s="36" t="s">
        <v>292</v>
      </c>
      <c r="J952" s="38" t="s">
        <v>3385</v>
      </c>
      <c r="K952" s="38"/>
      <c r="L952" s="389"/>
      <c r="M952" s="1900"/>
      <c r="N952" s="420"/>
      <c r="O952"/>
      <c r="P952" s="412"/>
      <c r="Q952" s="391"/>
      <c r="T952" s="393"/>
    </row>
    <row r="953" spans="1:20" ht="30" customHeight="1" x14ac:dyDescent="0.25">
      <c r="A953" s="44" t="s">
        <v>913</v>
      </c>
      <c r="B953" s="490" t="s">
        <v>560</v>
      </c>
      <c r="C953" s="491"/>
      <c r="D953" s="492"/>
      <c r="E953" s="793" t="s">
        <v>519</v>
      </c>
      <c r="F953" s="793" t="s">
        <v>561</v>
      </c>
      <c r="G953" s="626" t="s">
        <v>562</v>
      </c>
      <c r="H953" s="627"/>
      <c r="I953" s="181" t="s">
        <v>530</v>
      </c>
      <c r="J953" s="675" t="s">
        <v>533</v>
      </c>
      <c r="K953" s="507" t="s">
        <v>521</v>
      </c>
      <c r="L953" s="508"/>
      <c r="M953" s="1900"/>
      <c r="N953" s="420"/>
      <c r="O953"/>
      <c r="P953" s="412"/>
      <c r="Q953" s="391"/>
      <c r="T953" s="393"/>
    </row>
    <row r="954" spans="1:20" ht="30" customHeight="1" x14ac:dyDescent="0.25">
      <c r="A954" s="61" t="s">
        <v>849</v>
      </c>
      <c r="B954" s="236" t="s">
        <v>993</v>
      </c>
      <c r="C954" s="237"/>
      <c r="D954" s="238"/>
      <c r="E954" s="781">
        <f>+P886</f>
        <v>8.8450000000000006</v>
      </c>
      <c r="F954" s="20" t="s">
        <v>9</v>
      </c>
      <c r="G954" s="794">
        <f>8*62</f>
        <v>496</v>
      </c>
      <c r="H954" s="609" t="s">
        <v>915</v>
      </c>
      <c r="I954" s="751">
        <f>+R886</f>
        <v>1.04</v>
      </c>
      <c r="J954" s="751">
        <f>+S886</f>
        <v>1.0490196078431373</v>
      </c>
      <c r="K954" s="530">
        <f>+E954*G954*I954*J954</f>
        <v>4786.2618980392162</v>
      </c>
      <c r="L954" s="61" t="s">
        <v>38</v>
      </c>
      <c r="M954" s="1900"/>
      <c r="N954" s="420"/>
      <c r="O954"/>
      <c r="P954" s="412"/>
      <c r="Q954" s="391"/>
      <c r="T954" s="393"/>
    </row>
    <row r="955" spans="1:20" s="49" customFormat="1" ht="30" customHeight="1" x14ac:dyDescent="0.25">
      <c r="A955" s="61" t="s">
        <v>916</v>
      </c>
      <c r="B955" s="236" t="s">
        <v>917</v>
      </c>
      <c r="C955" s="237"/>
      <c r="D955" s="238"/>
      <c r="E955" s="781">
        <f>+P890</f>
        <v>439.5</v>
      </c>
      <c r="F955" s="730" t="s">
        <v>11</v>
      </c>
      <c r="G955" s="794">
        <v>8</v>
      </c>
      <c r="H955" s="609" t="s">
        <v>918</v>
      </c>
      <c r="I955" s="751">
        <f>+R890</f>
        <v>1.02</v>
      </c>
      <c r="J955" s="751">
        <f>+S890</f>
        <v>1.0490196078431373</v>
      </c>
      <c r="K955" s="530">
        <f>+E955*G955*I955*J955</f>
        <v>3762.1200000000003</v>
      </c>
      <c r="L955" s="61" t="s">
        <v>38</v>
      </c>
      <c r="M955" s="1901"/>
      <c r="N955" s="420"/>
      <c r="P955" s="412"/>
      <c r="Q955" s="391"/>
      <c r="T955" s="393"/>
    </row>
    <row r="956" spans="1:20" ht="30" customHeight="1" x14ac:dyDescent="0.25">
      <c r="A956" s="61" t="s">
        <v>916</v>
      </c>
      <c r="B956" s="236" t="s">
        <v>919</v>
      </c>
      <c r="C956" s="237"/>
      <c r="D956" s="238"/>
      <c r="E956" s="781">
        <f>+P892</f>
        <v>316</v>
      </c>
      <c r="F956" s="730" t="s">
        <v>11</v>
      </c>
      <c r="G956" s="794">
        <v>8</v>
      </c>
      <c r="H956" s="609" t="s">
        <v>918</v>
      </c>
      <c r="I956" s="751">
        <f>+R892</f>
        <v>1.02</v>
      </c>
      <c r="J956" s="751">
        <f>+S892</f>
        <v>1.0490196078431373</v>
      </c>
      <c r="K956" s="530">
        <f>+E956*G956*I956*J956</f>
        <v>2704.96</v>
      </c>
      <c r="L956" s="61" t="s">
        <v>38</v>
      </c>
      <c r="M956" s="1901"/>
      <c r="N956" s="420"/>
      <c r="O956"/>
      <c r="P956" s="412"/>
      <c r="Q956" s="391"/>
      <c r="T956" s="393"/>
    </row>
    <row r="957" spans="1:20" ht="30" customHeight="1" x14ac:dyDescent="0.25">
      <c r="A957" s="61" t="s">
        <v>920</v>
      </c>
      <c r="B957" s="236" t="s">
        <v>921</v>
      </c>
      <c r="C957" s="237"/>
      <c r="D957" s="238"/>
      <c r="E957" s="781">
        <f>+P895</f>
        <v>137.85</v>
      </c>
      <c r="F957" s="730" t="s">
        <v>11</v>
      </c>
      <c r="G957" s="794">
        <v>32</v>
      </c>
      <c r="H957" s="609" t="s">
        <v>918</v>
      </c>
      <c r="I957" s="751">
        <f>+R895</f>
        <v>1.02</v>
      </c>
      <c r="J957" s="751">
        <f>+S895</f>
        <v>1.0490196078431373</v>
      </c>
      <c r="K957" s="530">
        <f>+E957*G957*I957*J957</f>
        <v>4719.9840000000004</v>
      </c>
      <c r="L957" s="61" t="s">
        <v>38</v>
      </c>
      <c r="M957" s="1901"/>
      <c r="N957" s="420"/>
      <c r="O957"/>
      <c r="P957" s="412"/>
      <c r="Q957" s="391"/>
      <c r="T957" s="393"/>
    </row>
    <row r="958" spans="1:20" ht="30" customHeight="1" x14ac:dyDescent="0.25">
      <c r="A958" s="61" t="s">
        <v>922</v>
      </c>
      <c r="B958" s="236" t="s">
        <v>994</v>
      </c>
      <c r="C958" s="237"/>
      <c r="D958" s="238"/>
      <c r="E958" s="781">
        <f>+P896</f>
        <v>17.110000000000003</v>
      </c>
      <c r="F958" s="730" t="s">
        <v>7</v>
      </c>
      <c r="G958" s="794">
        <f>8*101</f>
        <v>808</v>
      </c>
      <c r="H958" s="609" t="s">
        <v>924</v>
      </c>
      <c r="I958" s="751">
        <f>+R896</f>
        <v>1.02</v>
      </c>
      <c r="J958" s="751">
        <f>+S896</f>
        <v>1.0490196078431373</v>
      </c>
      <c r="K958" s="530">
        <f>+E958*G958*I958*J958</f>
        <v>14792.621600000004</v>
      </c>
      <c r="L958" s="61" t="s">
        <v>38</v>
      </c>
      <c r="M958" s="1900"/>
      <c r="N958" s="420"/>
      <c r="O958"/>
      <c r="P958" s="412"/>
      <c r="Q958" s="391"/>
      <c r="T958" s="393"/>
    </row>
    <row r="959" spans="1:20" ht="30" customHeight="1" x14ac:dyDescent="0.25">
      <c r="A959" s="61">
        <v>93210</v>
      </c>
      <c r="B959" s="236" t="s">
        <v>995</v>
      </c>
      <c r="C959" s="237"/>
      <c r="D959" s="238"/>
      <c r="E959" s="781">
        <f>+P907</f>
        <v>44.901000000000003</v>
      </c>
      <c r="F959" s="730" t="s">
        <v>307</v>
      </c>
      <c r="G959" s="837">
        <v>27.8125</v>
      </c>
      <c r="H959" s="609" t="s">
        <v>927</v>
      </c>
      <c r="I959" s="821">
        <f>+R907</f>
        <v>0.9432470865927236</v>
      </c>
      <c r="J959" s="20"/>
      <c r="K959" s="530">
        <f>+E959*G959*I959</f>
        <v>1177.9355099137156</v>
      </c>
      <c r="L959" s="61" t="s">
        <v>38</v>
      </c>
      <c r="M959" s="1900"/>
      <c r="N959" s="420"/>
      <c r="O959"/>
      <c r="P959" s="412"/>
      <c r="Q959" s="391"/>
      <c r="T959" s="393"/>
    </row>
    <row r="960" spans="1:20" ht="30" customHeight="1" x14ac:dyDescent="0.25">
      <c r="A960" s="61">
        <v>93410</v>
      </c>
      <c r="B960" s="236" t="s">
        <v>996</v>
      </c>
      <c r="C960" s="237"/>
      <c r="D960" s="238"/>
      <c r="E960" s="781">
        <f>+P905</f>
        <v>8</v>
      </c>
      <c r="F960" s="730" t="s">
        <v>307</v>
      </c>
      <c r="G960" s="837">
        <f>2.61*8</f>
        <v>20.88</v>
      </c>
      <c r="H960" s="609" t="s">
        <v>927</v>
      </c>
      <c r="I960" s="821">
        <f>+R905</f>
        <v>0.9432470865927236</v>
      </c>
      <c r="J960" s="20"/>
      <c r="K960" s="530">
        <f>+E960*G960*I960</f>
        <v>157.55999334444854</v>
      </c>
      <c r="L960" s="61" t="s">
        <v>38</v>
      </c>
      <c r="M960" s="1900"/>
      <c r="N960" s="420"/>
      <c r="O960"/>
      <c r="P960" s="412"/>
      <c r="Q960" s="391"/>
      <c r="T960" s="393"/>
    </row>
    <row r="961" spans="1:20" ht="30" customHeight="1" x14ac:dyDescent="0.25">
      <c r="A961" s="61"/>
      <c r="B961" s="192"/>
      <c r="C961" s="192"/>
      <c r="D961" s="192"/>
      <c r="E961" s="405"/>
      <c r="F961" s="20"/>
      <c r="G961" s="838"/>
      <c r="H961" s="754"/>
      <c r="I961" s="20"/>
      <c r="J961" s="20" t="s">
        <v>646</v>
      </c>
      <c r="K961" s="530">
        <f>SUM(K954:K960)</f>
        <v>32101.443001297386</v>
      </c>
      <c r="L961" s="61" t="s">
        <v>38</v>
      </c>
      <c r="M961" s="1067"/>
      <c r="N961" s="420"/>
      <c r="O961"/>
      <c r="P961" s="412"/>
      <c r="Q961" s="391"/>
      <c r="T961" s="393"/>
    </row>
    <row r="962" spans="1:20" ht="30" customHeight="1" thickBot="1" x14ac:dyDescent="0.3">
      <c r="A962" s="61"/>
      <c r="B962" s="61"/>
      <c r="C962" s="63"/>
      <c r="D962" s="63"/>
      <c r="E962" s="18"/>
      <c r="F962" s="18"/>
      <c r="G962" s="413" t="s">
        <v>537</v>
      </c>
      <c r="H962" s="18"/>
      <c r="I962" s="18"/>
      <c r="J962" s="361">
        <f>VLOOKUP(B952,'Mil Cost Premiums for RUCs'!$A$4:$R$265,18,FALSE)</f>
        <v>1.0485669999999998</v>
      </c>
      <c r="K962" s="21">
        <f>+K961*J962</f>
        <v>33660.513783541392</v>
      </c>
      <c r="L962" s="61" t="s">
        <v>38</v>
      </c>
      <c r="M962" s="1067"/>
      <c r="N962" s="420"/>
      <c r="O962"/>
      <c r="P962" s="412"/>
      <c r="Q962" s="391"/>
      <c r="T962" s="393"/>
    </row>
    <row r="963" spans="1:20" ht="30" customHeight="1" thickBot="1" x14ac:dyDescent="0.3">
      <c r="A963" s="76"/>
      <c r="B963" s="77"/>
      <c r="C963" s="77"/>
      <c r="D963" s="77"/>
      <c r="E963" s="77"/>
      <c r="F963" s="77"/>
      <c r="G963" s="77"/>
      <c r="H963" s="77"/>
      <c r="I963" s="77"/>
      <c r="J963" s="77"/>
      <c r="K963" s="77"/>
      <c r="L963" s="78"/>
      <c r="M963" s="1067"/>
      <c r="N963" s="420"/>
      <c r="O963"/>
      <c r="P963" s="412"/>
      <c r="Q963" s="391"/>
      <c r="T963" s="393"/>
    </row>
    <row r="964" spans="1:20" ht="75" customHeight="1" x14ac:dyDescent="0.25">
      <c r="A964" s="30" t="s">
        <v>288</v>
      </c>
      <c r="B964" s="31">
        <v>1758</v>
      </c>
      <c r="C964" s="161" t="s">
        <v>997</v>
      </c>
      <c r="D964" s="162"/>
      <c r="E964" s="36" t="s">
        <v>291</v>
      </c>
      <c r="F964" s="37" t="s">
        <v>38</v>
      </c>
      <c r="G964" s="163" t="s">
        <v>998</v>
      </c>
      <c r="H964" s="487">
        <v>10</v>
      </c>
      <c r="I964" s="36" t="s">
        <v>292</v>
      </c>
      <c r="J964" s="38" t="s">
        <v>3385</v>
      </c>
      <c r="K964" s="38"/>
      <c r="L964" s="389"/>
      <c r="M964" s="1067"/>
      <c r="N964" s="420"/>
      <c r="O964"/>
      <c r="P964" s="412"/>
      <c r="Q964" s="391"/>
      <c r="T964" s="393"/>
    </row>
    <row r="965" spans="1:20" ht="30" customHeight="1" x14ac:dyDescent="0.25">
      <c r="A965" s="44" t="s">
        <v>913</v>
      </c>
      <c r="B965" s="490" t="s">
        <v>560</v>
      </c>
      <c r="C965" s="491"/>
      <c r="D965" s="492"/>
      <c r="E965" s="793" t="s">
        <v>519</v>
      </c>
      <c r="F965" s="793" t="s">
        <v>561</v>
      </c>
      <c r="G965" s="626" t="s">
        <v>562</v>
      </c>
      <c r="H965" s="627"/>
      <c r="I965" s="181" t="s">
        <v>530</v>
      </c>
      <c r="J965" s="675" t="s">
        <v>533</v>
      </c>
      <c r="K965" s="507" t="s">
        <v>521</v>
      </c>
      <c r="L965" s="508"/>
      <c r="M965" s="1067"/>
      <c r="N965" s="420"/>
      <c r="O965"/>
      <c r="P965" s="412"/>
      <c r="Q965" s="391"/>
      <c r="T965" s="393"/>
    </row>
    <row r="966" spans="1:20" ht="30" customHeight="1" x14ac:dyDescent="0.25">
      <c r="A966" s="44"/>
      <c r="B966" s="192" t="s">
        <v>999</v>
      </c>
      <c r="C966" s="192"/>
      <c r="D966" s="192"/>
      <c r="E966" s="793"/>
      <c r="F966" s="793"/>
      <c r="G966" s="835"/>
      <c r="H966" s="836"/>
      <c r="I966" s="211"/>
      <c r="J966" s="211"/>
      <c r="K966" s="793"/>
      <c r="L966" s="793"/>
      <c r="M966" s="1067"/>
      <c r="N966" s="420"/>
      <c r="O966"/>
      <c r="P966" s="412"/>
      <c r="Q966" s="391"/>
      <c r="T966" s="393"/>
    </row>
    <row r="967" spans="1:20" ht="30" customHeight="1" x14ac:dyDescent="0.25">
      <c r="A967" s="61" t="s">
        <v>849</v>
      </c>
      <c r="B967" s="192" t="s">
        <v>1000</v>
      </c>
      <c r="C967" s="192"/>
      <c r="D967" s="192"/>
      <c r="E967" s="781">
        <f>+P886</f>
        <v>8.8450000000000006</v>
      </c>
      <c r="F967" s="20" t="s">
        <v>9</v>
      </c>
      <c r="G967" s="777">
        <f>3*62</f>
        <v>186</v>
      </c>
      <c r="H967" s="609" t="s">
        <v>915</v>
      </c>
      <c r="I967" s="751">
        <f>+R886</f>
        <v>1.04</v>
      </c>
      <c r="J967" s="751">
        <f>+S886</f>
        <v>1.0490196078431373</v>
      </c>
      <c r="K967" s="530">
        <f t="shared" ref="K967:K977" si="4">+E967*G967*I967*J967</f>
        <v>1794.8482117647061</v>
      </c>
      <c r="L967" s="61" t="s">
        <v>38</v>
      </c>
      <c r="M967" s="1067"/>
      <c r="N967" s="420"/>
      <c r="O967"/>
      <c r="P967" s="412"/>
      <c r="Q967" s="391"/>
      <c r="T967" s="393"/>
    </row>
    <row r="968" spans="1:20" ht="30" customHeight="1" x14ac:dyDescent="0.25">
      <c r="A968" s="61" t="s">
        <v>849</v>
      </c>
      <c r="B968" s="192" t="s">
        <v>1001</v>
      </c>
      <c r="C968" s="192"/>
      <c r="D968" s="192"/>
      <c r="E968" s="781">
        <f>+P886</f>
        <v>8.8450000000000006</v>
      </c>
      <c r="F968" s="20" t="s">
        <v>9</v>
      </c>
      <c r="G968" s="777">
        <f>5*94</f>
        <v>470</v>
      </c>
      <c r="H968" s="609" t="s">
        <v>915</v>
      </c>
      <c r="I968" s="751">
        <f t="shared" ref="I968:J970" si="5">+R886</f>
        <v>1.04</v>
      </c>
      <c r="J968" s="751">
        <f t="shared" si="5"/>
        <v>1.0490196078431373</v>
      </c>
      <c r="K968" s="530">
        <f t="shared" si="4"/>
        <v>4535.3691372549029</v>
      </c>
      <c r="L968" s="61" t="s">
        <v>38</v>
      </c>
      <c r="M968" s="1067"/>
      <c r="N968" s="420"/>
      <c r="O968"/>
      <c r="P968" s="412"/>
      <c r="Q968" s="391"/>
      <c r="T968" s="393"/>
    </row>
    <row r="969" spans="1:20" ht="30" customHeight="1" x14ac:dyDescent="0.25">
      <c r="A969" s="61" t="s">
        <v>849</v>
      </c>
      <c r="B969" s="192" t="s">
        <v>1002</v>
      </c>
      <c r="C969" s="192"/>
      <c r="D969" s="192"/>
      <c r="E969" s="781">
        <f>+P887</f>
        <v>10.805</v>
      </c>
      <c r="F969" s="20" t="s">
        <v>9</v>
      </c>
      <c r="G969" s="777">
        <f>2*468</f>
        <v>936</v>
      </c>
      <c r="H969" s="609" t="s">
        <v>915</v>
      </c>
      <c r="I969" s="751">
        <f t="shared" si="5"/>
        <v>1.04</v>
      </c>
      <c r="J969" s="751">
        <f t="shared" si="5"/>
        <v>1.0490196078431373</v>
      </c>
      <c r="K969" s="530">
        <f t="shared" si="4"/>
        <v>11033.608376470589</v>
      </c>
      <c r="L969" s="61" t="s">
        <v>38</v>
      </c>
      <c r="M969" s="1067"/>
      <c r="N969" s="420"/>
      <c r="O969"/>
      <c r="P969" s="412"/>
      <c r="Q969" s="391"/>
      <c r="T969" s="393"/>
    </row>
    <row r="970" spans="1:20" ht="30" customHeight="1" x14ac:dyDescent="0.25">
      <c r="A970" s="61" t="s">
        <v>780</v>
      </c>
      <c r="B970" s="192" t="s">
        <v>1003</v>
      </c>
      <c r="C970" s="192"/>
      <c r="D970" s="192"/>
      <c r="E970" s="781">
        <f>+P888</f>
        <v>17.95</v>
      </c>
      <c r="F970" s="20" t="s">
        <v>9</v>
      </c>
      <c r="G970" s="839">
        <f>80.7*2</f>
        <v>161.4</v>
      </c>
      <c r="H970" s="609" t="s">
        <v>915</v>
      </c>
      <c r="I970" s="751">
        <f t="shared" si="5"/>
        <v>1.04</v>
      </c>
      <c r="J970" s="751">
        <f t="shared" si="5"/>
        <v>1.0490196078431373</v>
      </c>
      <c r="K970" s="530">
        <f t="shared" si="4"/>
        <v>3160.7120235294124</v>
      </c>
      <c r="L970" s="61" t="s">
        <v>38</v>
      </c>
      <c r="M970" s="1067"/>
      <c r="N970" s="420"/>
      <c r="O970"/>
      <c r="P970" s="412"/>
      <c r="Q970" s="391"/>
      <c r="T970" s="393"/>
    </row>
    <row r="971" spans="1:20" s="49" customFormat="1" ht="30" customHeight="1" x14ac:dyDescent="0.25">
      <c r="A971" s="61" t="s">
        <v>916</v>
      </c>
      <c r="B971" s="192" t="s">
        <v>953</v>
      </c>
      <c r="C971" s="192"/>
      <c r="D971" s="192"/>
      <c r="E971" s="781">
        <f>+P891</f>
        <v>800</v>
      </c>
      <c r="F971" s="730" t="s">
        <v>11</v>
      </c>
      <c r="G971" s="777">
        <v>12</v>
      </c>
      <c r="H971" s="609" t="s">
        <v>918</v>
      </c>
      <c r="I971" s="751">
        <f>+R891</f>
        <v>1.02</v>
      </c>
      <c r="J971" s="751">
        <f>+S891</f>
        <v>1.0490196078431373</v>
      </c>
      <c r="K971" s="530">
        <f t="shared" si="4"/>
        <v>10272</v>
      </c>
      <c r="L971" s="61" t="s">
        <v>38</v>
      </c>
      <c r="M971" s="1897"/>
      <c r="N971" s="420"/>
      <c r="P971" s="412"/>
      <c r="Q971" s="391"/>
      <c r="T971" s="393"/>
    </row>
    <row r="972" spans="1:20" ht="30" customHeight="1" x14ac:dyDescent="0.25">
      <c r="A972" s="61" t="s">
        <v>760</v>
      </c>
      <c r="B972" s="192" t="s">
        <v>958</v>
      </c>
      <c r="C972" s="192"/>
      <c r="D972" s="192"/>
      <c r="E972" s="781">
        <f>+P898</f>
        <v>17.125</v>
      </c>
      <c r="F972" s="730" t="s">
        <v>7</v>
      </c>
      <c r="G972" s="777">
        <f>2*50</f>
        <v>100</v>
      </c>
      <c r="H972" s="609" t="s">
        <v>924</v>
      </c>
      <c r="I972" s="751">
        <f>+R898</f>
        <v>1.02</v>
      </c>
      <c r="J972" s="751">
        <f>+S898</f>
        <v>1.0490196078431373</v>
      </c>
      <c r="K972" s="530">
        <f t="shared" si="4"/>
        <v>1832.375</v>
      </c>
      <c r="L972" s="61" t="s">
        <v>38</v>
      </c>
      <c r="M972" s="1067"/>
      <c r="N972" s="420"/>
      <c r="O972"/>
      <c r="P972" s="412"/>
      <c r="Q972" s="391"/>
      <c r="T972" s="393"/>
    </row>
    <row r="973" spans="1:20" ht="30" customHeight="1" x14ac:dyDescent="0.25">
      <c r="A973" s="61" t="s">
        <v>760</v>
      </c>
      <c r="B973" s="192" t="s">
        <v>986</v>
      </c>
      <c r="C973" s="192"/>
      <c r="D973" s="192"/>
      <c r="E973" s="781">
        <f>+P899</f>
        <v>2617.5</v>
      </c>
      <c r="F973" s="730" t="s">
        <v>11</v>
      </c>
      <c r="G973" s="777">
        <v>2</v>
      </c>
      <c r="H973" s="609" t="s">
        <v>934</v>
      </c>
      <c r="I973" s="751">
        <f>+R899</f>
        <v>1.02</v>
      </c>
      <c r="J973" s="751">
        <f>+S899</f>
        <v>1.0490196078431373</v>
      </c>
      <c r="K973" s="530">
        <f t="shared" si="4"/>
        <v>5601.45</v>
      </c>
      <c r="L973" s="61" t="s">
        <v>38</v>
      </c>
      <c r="M973" s="1067"/>
      <c r="N973" s="420"/>
      <c r="O973"/>
      <c r="P973" s="412"/>
      <c r="Q973" s="391"/>
      <c r="T973" s="393"/>
    </row>
    <row r="974" spans="1:20" ht="30" customHeight="1" x14ac:dyDescent="0.25">
      <c r="A974" s="61" t="s">
        <v>916</v>
      </c>
      <c r="B974" s="192" t="s">
        <v>1004</v>
      </c>
      <c r="C974" s="192"/>
      <c r="D974" s="192"/>
      <c r="E974" s="781">
        <f>+P894</f>
        <v>985</v>
      </c>
      <c r="F974" s="730" t="s">
        <v>11</v>
      </c>
      <c r="G974" s="777">
        <v>12</v>
      </c>
      <c r="H974" s="609" t="s">
        <v>918</v>
      </c>
      <c r="I974" s="751">
        <f t="shared" ref="I974:J976" si="6">+R894</f>
        <v>1.02</v>
      </c>
      <c r="J974" s="751">
        <f t="shared" si="6"/>
        <v>1.0490196078431373</v>
      </c>
      <c r="K974" s="530">
        <f t="shared" si="4"/>
        <v>12647.4</v>
      </c>
      <c r="L974" s="61" t="s">
        <v>38</v>
      </c>
      <c r="M974" s="1067"/>
      <c r="N974" s="420"/>
      <c r="O974"/>
      <c r="P974" s="412"/>
      <c r="Q974" s="391"/>
      <c r="T974" s="393"/>
    </row>
    <row r="975" spans="1:20" ht="30" customHeight="1" x14ac:dyDescent="0.25">
      <c r="A975" s="61" t="s">
        <v>920</v>
      </c>
      <c r="B975" s="192" t="s">
        <v>1005</v>
      </c>
      <c r="C975" s="192"/>
      <c r="D975" s="192"/>
      <c r="E975" s="781">
        <f>+P895</f>
        <v>137.85</v>
      </c>
      <c r="F975" s="730" t="s">
        <v>11</v>
      </c>
      <c r="G975" s="777">
        <f>5*12</f>
        <v>60</v>
      </c>
      <c r="H975" s="609" t="s">
        <v>918</v>
      </c>
      <c r="I975" s="751">
        <f t="shared" si="6"/>
        <v>1.02</v>
      </c>
      <c r="J975" s="751">
        <f t="shared" si="6"/>
        <v>1.0490196078431373</v>
      </c>
      <c r="K975" s="530">
        <f t="shared" si="4"/>
        <v>8849.9700000000012</v>
      </c>
      <c r="L975" s="61" t="s">
        <v>38</v>
      </c>
      <c r="M975" s="1067"/>
      <c r="N975" s="420"/>
      <c r="O975"/>
      <c r="P975" s="412"/>
      <c r="Q975" s="391"/>
      <c r="T975" s="393"/>
    </row>
    <row r="976" spans="1:20" ht="30" customHeight="1" x14ac:dyDescent="0.25">
      <c r="A976" s="61" t="s">
        <v>922</v>
      </c>
      <c r="B976" s="236" t="s">
        <v>1006</v>
      </c>
      <c r="C976" s="237"/>
      <c r="D976" s="238"/>
      <c r="E976" s="781">
        <f>+P896</f>
        <v>17.110000000000003</v>
      </c>
      <c r="F976" s="730" t="s">
        <v>7</v>
      </c>
      <c r="G976" s="777">
        <v>2961</v>
      </c>
      <c r="H976" s="609" t="s">
        <v>924</v>
      </c>
      <c r="I976" s="751">
        <f t="shared" si="6"/>
        <v>1.02</v>
      </c>
      <c r="J976" s="751">
        <f t="shared" si="6"/>
        <v>1.0490196078431373</v>
      </c>
      <c r="K976" s="530">
        <f t="shared" si="4"/>
        <v>54209.099700000013</v>
      </c>
      <c r="L976" s="61" t="s">
        <v>38</v>
      </c>
      <c r="M976" s="1067"/>
      <c r="N976" s="420"/>
      <c r="O976"/>
      <c r="P976" s="412"/>
      <c r="Q976" s="391"/>
      <c r="T976" s="393"/>
    </row>
    <row r="977" spans="1:20" ht="30" customHeight="1" x14ac:dyDescent="0.25">
      <c r="A977" s="61" t="s">
        <v>574</v>
      </c>
      <c r="B977" s="236" t="s">
        <v>989</v>
      </c>
      <c r="C977" s="237"/>
      <c r="D977" s="238"/>
      <c r="E977" s="594">
        <f>+P889</f>
        <v>4.6849999999999996</v>
      </c>
      <c r="F977" s="730" t="s">
        <v>9</v>
      </c>
      <c r="G977" s="777">
        <f>32*9</f>
        <v>288</v>
      </c>
      <c r="H977" s="609" t="s">
        <v>915</v>
      </c>
      <c r="I977" s="751">
        <f>+R889</f>
        <v>1.04</v>
      </c>
      <c r="J977" s="751">
        <f>+S889</f>
        <v>1.0490196078431373</v>
      </c>
      <c r="K977" s="530">
        <f t="shared" si="4"/>
        <v>1472.0380235294117</v>
      </c>
      <c r="L977" s="61" t="s">
        <v>38</v>
      </c>
      <c r="M977" s="1067"/>
      <c r="N977" s="420"/>
      <c r="O977"/>
      <c r="P977" s="412"/>
      <c r="Q977" s="391"/>
      <c r="T977" s="393"/>
    </row>
    <row r="978" spans="1:20" ht="30" customHeight="1" x14ac:dyDescent="0.25">
      <c r="A978" s="61">
        <v>93410</v>
      </c>
      <c r="B978" s="236" t="s">
        <v>1007</v>
      </c>
      <c r="C978" s="237"/>
      <c r="D978" s="238"/>
      <c r="E978" s="781">
        <f>+P905</f>
        <v>8</v>
      </c>
      <c r="F978" s="730" t="s">
        <v>307</v>
      </c>
      <c r="G978" s="839">
        <v>39.200000000000003</v>
      </c>
      <c r="H978" s="609" t="s">
        <v>927</v>
      </c>
      <c r="I978" s="821">
        <f>+R905</f>
        <v>0.9432470865927236</v>
      </c>
      <c r="J978" s="751"/>
      <c r="K978" s="530">
        <f>+E978*G978*I978</f>
        <v>295.80228635547815</v>
      </c>
      <c r="L978" s="61" t="s">
        <v>38</v>
      </c>
      <c r="M978" s="1067"/>
      <c r="N978" s="420"/>
      <c r="O978"/>
      <c r="P978" s="412"/>
      <c r="Q978" s="391"/>
      <c r="T978" s="393"/>
    </row>
    <row r="979" spans="1:20" ht="30" customHeight="1" x14ac:dyDescent="0.25">
      <c r="A979" s="61">
        <v>93210</v>
      </c>
      <c r="B979" s="236" t="s">
        <v>1008</v>
      </c>
      <c r="C979" s="237"/>
      <c r="D979" s="238"/>
      <c r="E979" s="781">
        <f>+P907</f>
        <v>44.901000000000003</v>
      </c>
      <c r="F979" s="730" t="s">
        <v>307</v>
      </c>
      <c r="G979" s="839">
        <v>3.9</v>
      </c>
      <c r="H979" s="609" t="s">
        <v>927</v>
      </c>
      <c r="I979" s="821">
        <f>+R907</f>
        <v>0.9432470865927236</v>
      </c>
      <c r="J979" s="751"/>
      <c r="K979" s="530">
        <f>+E979*G979*I979</f>
        <v>165.17567599688954</v>
      </c>
      <c r="L979" s="61" t="s">
        <v>38</v>
      </c>
      <c r="M979" s="1067"/>
      <c r="N979" s="420"/>
      <c r="O979"/>
      <c r="P979" s="412"/>
      <c r="Q979" s="391"/>
      <c r="T979" s="393"/>
    </row>
    <row r="980" spans="1:20" ht="30" customHeight="1" x14ac:dyDescent="0.25">
      <c r="A980" s="61"/>
      <c r="B980" s="192"/>
      <c r="C980" s="192"/>
      <c r="D980" s="192"/>
      <c r="E980" s="405"/>
      <c r="F980" s="20"/>
      <c r="G980" s="838"/>
      <c r="H980" s="754"/>
      <c r="I980" s="20"/>
      <c r="J980" s="20" t="s">
        <v>646</v>
      </c>
      <c r="K980" s="530">
        <f>SUM(K967:K978)</f>
        <v>115704.67275890452</v>
      </c>
      <c r="L980" s="61" t="s">
        <v>38</v>
      </c>
      <c r="M980" s="1067"/>
      <c r="N980" s="420"/>
      <c r="O980"/>
      <c r="P980" s="412"/>
      <c r="Q980" s="391"/>
      <c r="T980" s="393"/>
    </row>
    <row r="981" spans="1:20" ht="30" customHeight="1" thickBot="1" x14ac:dyDescent="0.3">
      <c r="A981" s="61"/>
      <c r="B981" s="61"/>
      <c r="C981" s="63"/>
      <c r="D981" s="63"/>
      <c r="E981" s="63"/>
      <c r="F981" s="63"/>
      <c r="G981" s="445" t="s">
        <v>537</v>
      </c>
      <c r="H981" s="63"/>
      <c r="I981" s="63"/>
      <c r="J981" s="447">
        <f>VLOOKUP(B964,'Mil Cost Premiums for RUCs'!$A$4:$R$265,18,FALSE)</f>
        <v>1.0485669999999998</v>
      </c>
      <c r="K981" s="21">
        <f>+K980*J981</f>
        <v>121324.10160078621</v>
      </c>
      <c r="L981" s="61" t="s">
        <v>38</v>
      </c>
      <c r="M981" s="1067"/>
      <c r="N981" s="420"/>
      <c r="O981"/>
      <c r="P981" s="412"/>
      <c r="Q981" s="391"/>
      <c r="T981" s="393"/>
    </row>
    <row r="982" spans="1:20" ht="30" customHeight="1" thickBot="1" x14ac:dyDescent="0.3">
      <c r="A982" s="76"/>
      <c r="B982" s="77"/>
      <c r="C982" s="77"/>
      <c r="D982" s="77"/>
      <c r="E982" s="77"/>
      <c r="F982" s="77"/>
      <c r="G982" s="77"/>
      <c r="H982" s="77"/>
      <c r="I982" s="77"/>
      <c r="J982" s="77"/>
      <c r="K982" s="77"/>
      <c r="L982" s="78"/>
      <c r="M982" s="1067"/>
      <c r="N982" s="420"/>
      <c r="O982"/>
      <c r="P982" s="412"/>
      <c r="Q982" s="391"/>
      <c r="T982" s="393"/>
    </row>
    <row r="983" spans="1:20" s="49" customFormat="1" ht="60" customHeight="1" x14ac:dyDescent="0.25">
      <c r="A983" s="30" t="s">
        <v>288</v>
      </c>
      <c r="B983" s="31">
        <v>1760</v>
      </c>
      <c r="C983" s="161" t="s">
        <v>1009</v>
      </c>
      <c r="D983" s="162"/>
      <c r="E983" s="177" t="s">
        <v>291</v>
      </c>
      <c r="F983" s="178" t="s">
        <v>38</v>
      </c>
      <c r="G983" s="465" t="s">
        <v>912</v>
      </c>
      <c r="H983" s="388">
        <v>4</v>
      </c>
      <c r="I983" s="177" t="s">
        <v>292</v>
      </c>
      <c r="J983" s="38" t="s">
        <v>3385</v>
      </c>
      <c r="K983" s="38"/>
      <c r="L983" s="389"/>
      <c r="M983" s="1897"/>
      <c r="N983" s="420"/>
      <c r="P983" s="412"/>
      <c r="Q983" s="391"/>
      <c r="T983" s="393"/>
    </row>
    <row r="984" spans="1:20" ht="30" customHeight="1" x14ac:dyDescent="0.25">
      <c r="A984" s="44" t="s">
        <v>913</v>
      </c>
      <c r="B984" s="490" t="s">
        <v>560</v>
      </c>
      <c r="C984" s="491"/>
      <c r="D984" s="492"/>
      <c r="E984" s="397" t="s">
        <v>519</v>
      </c>
      <c r="F984" s="397" t="s">
        <v>561</v>
      </c>
      <c r="G984" s="398" t="s">
        <v>562</v>
      </c>
      <c r="H984" s="399"/>
      <c r="I984" s="400" t="s">
        <v>530</v>
      </c>
      <c r="J984" s="400"/>
      <c r="K984" s="288" t="s">
        <v>521</v>
      </c>
      <c r="L984" s="289"/>
      <c r="M984" s="1067"/>
      <c r="N984" s="420"/>
      <c r="O984"/>
      <c r="P984" s="412"/>
      <c r="Q984" s="391"/>
      <c r="T984" s="393"/>
    </row>
    <row r="985" spans="1:20" ht="30" customHeight="1" x14ac:dyDescent="0.25">
      <c r="A985" s="61">
        <v>85110</v>
      </c>
      <c r="B985" s="236" t="s">
        <v>1010</v>
      </c>
      <c r="C985" s="237"/>
      <c r="D985" s="238"/>
      <c r="E985" s="781">
        <f>+P908/9</f>
        <v>7.5555555555555554</v>
      </c>
      <c r="F985" s="20" t="s">
        <v>9</v>
      </c>
      <c r="G985" s="777">
        <v>481</v>
      </c>
      <c r="H985" s="609" t="s">
        <v>915</v>
      </c>
      <c r="I985" s="821">
        <f>+R904</f>
        <v>0.9432470865927236</v>
      </c>
      <c r="J985" s="751"/>
      <c r="K985" s="405">
        <f>+E985*G985*I985</f>
        <v>3427.9695231416449</v>
      </c>
      <c r="L985" s="20" t="s">
        <v>38</v>
      </c>
      <c r="M985" s="1067"/>
      <c r="N985" s="420"/>
      <c r="O985"/>
      <c r="P985" s="412"/>
      <c r="Q985" s="391"/>
      <c r="T985" s="393"/>
    </row>
    <row r="986" spans="1:20" ht="30" customHeight="1" x14ac:dyDescent="0.25">
      <c r="A986" s="61">
        <v>93410</v>
      </c>
      <c r="B986" s="236" t="s">
        <v>1011</v>
      </c>
      <c r="C986" s="237"/>
      <c r="D986" s="238"/>
      <c r="E986" s="781">
        <f>+P905</f>
        <v>8</v>
      </c>
      <c r="F986" s="730" t="s">
        <v>307</v>
      </c>
      <c r="G986" s="777">
        <f>1936/4</f>
        <v>484</v>
      </c>
      <c r="H986" s="609" t="s">
        <v>927</v>
      </c>
      <c r="I986" s="821">
        <f>+R905</f>
        <v>0.9432470865927236</v>
      </c>
      <c r="J986" s="20"/>
      <c r="K986" s="405">
        <f>+E986*G986*I986</f>
        <v>3652.2527192870257</v>
      </c>
      <c r="L986" s="20" t="s">
        <v>38</v>
      </c>
      <c r="M986" s="1067"/>
      <c r="N986" s="420"/>
      <c r="O986"/>
      <c r="P986" s="412"/>
      <c r="Q986" s="391"/>
      <c r="T986" s="393"/>
    </row>
    <row r="987" spans="1:20" ht="30" customHeight="1" x14ac:dyDescent="0.25">
      <c r="A987" s="61">
        <v>93210</v>
      </c>
      <c r="B987" s="236" t="s">
        <v>1012</v>
      </c>
      <c r="C987" s="237"/>
      <c r="D987" s="238"/>
      <c r="E987" s="781">
        <f>+P907</f>
        <v>44.901000000000003</v>
      </c>
      <c r="F987" s="730" t="s">
        <v>307</v>
      </c>
      <c r="G987" s="777">
        <f>327/4</f>
        <v>81.75</v>
      </c>
      <c r="H987" s="609" t="s">
        <v>927</v>
      </c>
      <c r="I987" s="821">
        <f>+R907</f>
        <v>0.9432470865927236</v>
      </c>
      <c r="J987" s="20"/>
      <c r="K987" s="405">
        <f>+E987*G987*I987</f>
        <v>3462.3362853194153</v>
      </c>
      <c r="L987" s="20" t="s">
        <v>38</v>
      </c>
      <c r="M987" s="1067"/>
      <c r="N987" s="420"/>
      <c r="O987"/>
      <c r="P987" s="412"/>
      <c r="Q987" s="391"/>
      <c r="T987" s="393"/>
    </row>
    <row r="988" spans="1:20" ht="30" customHeight="1" x14ac:dyDescent="0.25">
      <c r="A988" s="61"/>
      <c r="B988" s="192"/>
      <c r="C988" s="192"/>
      <c r="D988" s="192"/>
      <c r="E988" s="405"/>
      <c r="F988" s="20"/>
      <c r="G988" s="838"/>
      <c r="H988" s="754"/>
      <c r="I988" s="20"/>
      <c r="J988" s="20" t="s">
        <v>646</v>
      </c>
      <c r="K988" s="405">
        <f>SUM(K985:K987)</f>
        <v>10542.558527748086</v>
      </c>
      <c r="L988" s="20" t="s">
        <v>38</v>
      </c>
      <c r="M988" s="1067"/>
      <c r="N988" s="420"/>
      <c r="O988"/>
      <c r="P988" s="412"/>
      <c r="Q988" s="391"/>
      <c r="T988" s="393"/>
    </row>
    <row r="989" spans="1:20" ht="30" customHeight="1" thickBot="1" x14ac:dyDescent="0.3">
      <c r="A989" s="61"/>
      <c r="B989" s="61"/>
      <c r="C989" s="63"/>
      <c r="D989" s="63"/>
      <c r="E989" s="18"/>
      <c r="F989" s="18"/>
      <c r="G989" s="413" t="s">
        <v>537</v>
      </c>
      <c r="H989" s="18"/>
      <c r="I989" s="18"/>
      <c r="J989" s="361">
        <f>VLOOKUP(B983,'Mil Cost Premiums for RUCs'!$A$4:$R$265,18,FALSE)</f>
        <v>1.0485669999999998</v>
      </c>
      <c r="K989" s="23">
        <f>+K988*J989</f>
        <v>11054.578967765225</v>
      </c>
      <c r="L989" s="20" t="s">
        <v>38</v>
      </c>
      <c r="M989" s="1067"/>
      <c r="N989" s="420"/>
      <c r="O989"/>
      <c r="P989" s="412"/>
      <c r="Q989" s="391"/>
      <c r="T989" s="393"/>
    </row>
    <row r="990" spans="1:20" ht="30" customHeight="1" thickBot="1" x14ac:dyDescent="0.3">
      <c r="A990" s="76"/>
      <c r="B990" s="77"/>
      <c r="C990" s="77"/>
      <c r="D990" s="77"/>
      <c r="E990" s="77"/>
      <c r="F990" s="77"/>
      <c r="G990" s="77"/>
      <c r="H990" s="77"/>
      <c r="I990" s="77"/>
      <c r="J990" s="77"/>
      <c r="K990" s="77"/>
      <c r="L990" s="78"/>
      <c r="M990" s="1067"/>
      <c r="N990" s="420"/>
      <c r="O990"/>
      <c r="P990" s="412"/>
      <c r="Q990" s="391"/>
      <c r="T990" s="393"/>
    </row>
    <row r="991" spans="1:20" ht="75" customHeight="1" x14ac:dyDescent="0.25">
      <c r="A991" s="30" t="s">
        <v>288</v>
      </c>
      <c r="B991" s="31">
        <v>1761</v>
      </c>
      <c r="C991" s="161" t="s">
        <v>1013</v>
      </c>
      <c r="D991" s="162"/>
      <c r="E991" s="36" t="s">
        <v>291</v>
      </c>
      <c r="F991" s="37" t="s">
        <v>38</v>
      </c>
      <c r="G991" s="163" t="s">
        <v>1014</v>
      </c>
      <c r="H991" s="487">
        <v>4</v>
      </c>
      <c r="I991" s="36" t="s">
        <v>292</v>
      </c>
      <c r="J991" s="38" t="s">
        <v>3385</v>
      </c>
      <c r="K991" s="38"/>
      <c r="L991" s="389"/>
      <c r="M991" s="1067"/>
      <c r="N991" s="420"/>
      <c r="O991"/>
      <c r="P991" s="412"/>
      <c r="Q991" s="391"/>
      <c r="T991" s="393"/>
    </row>
    <row r="992" spans="1:20" ht="30" customHeight="1" x14ac:dyDescent="0.25">
      <c r="A992" s="44" t="s">
        <v>913</v>
      </c>
      <c r="B992" s="490" t="s">
        <v>560</v>
      </c>
      <c r="C992" s="491"/>
      <c r="D992" s="492"/>
      <c r="E992" s="793" t="s">
        <v>519</v>
      </c>
      <c r="F992" s="793" t="s">
        <v>561</v>
      </c>
      <c r="G992" s="626" t="s">
        <v>562</v>
      </c>
      <c r="H992" s="627"/>
      <c r="I992" s="400" t="s">
        <v>530</v>
      </c>
      <c r="J992" s="675" t="s">
        <v>533</v>
      </c>
      <c r="K992" s="507" t="s">
        <v>521</v>
      </c>
      <c r="L992" s="508"/>
      <c r="M992" s="1067"/>
      <c r="N992" s="420"/>
      <c r="O992"/>
      <c r="P992" s="412"/>
      <c r="Q992" s="391"/>
      <c r="T992" s="393"/>
    </row>
    <row r="993" spans="1:20" ht="30" customHeight="1" x14ac:dyDescent="0.25">
      <c r="A993" s="61" t="s">
        <v>574</v>
      </c>
      <c r="B993" s="402" t="s">
        <v>945</v>
      </c>
      <c r="C993" s="403"/>
      <c r="D993" s="404"/>
      <c r="E993" s="594">
        <f>+P885</f>
        <v>3015</v>
      </c>
      <c r="F993" s="730" t="s">
        <v>11</v>
      </c>
      <c r="G993" s="794"/>
      <c r="H993" s="609"/>
      <c r="I993" s="20">
        <f>+R885</f>
        <v>1.04</v>
      </c>
      <c r="J993" s="751">
        <f>+S885</f>
        <v>1.0490196078431373</v>
      </c>
      <c r="K993" s="530">
        <f>+E993*J993*I993</f>
        <v>3289.3058823529414</v>
      </c>
      <c r="L993" s="61" t="s">
        <v>38</v>
      </c>
      <c r="M993" s="1067"/>
      <c r="N993" s="420"/>
      <c r="O993"/>
      <c r="P993" s="412"/>
      <c r="Q993" s="391"/>
      <c r="T993" s="393"/>
    </row>
    <row r="994" spans="1:20" ht="30" customHeight="1" x14ac:dyDescent="0.25">
      <c r="A994" s="61">
        <v>93410</v>
      </c>
      <c r="B994" s="402" t="s">
        <v>1015</v>
      </c>
      <c r="C994" s="403"/>
      <c r="D994" s="404"/>
      <c r="E994" s="781">
        <f>+P905</f>
        <v>8</v>
      </c>
      <c r="F994" s="730" t="s">
        <v>307</v>
      </c>
      <c r="G994" s="777">
        <f>2.6*4</f>
        <v>10.4</v>
      </c>
      <c r="H994" s="609" t="s">
        <v>927</v>
      </c>
      <c r="I994" s="821">
        <f>+R905</f>
        <v>0.9432470865927236</v>
      </c>
      <c r="J994" s="20"/>
      <c r="K994" s="530">
        <f>+E994*G994*I994</f>
        <v>78.478157604514607</v>
      </c>
      <c r="L994" s="61" t="s">
        <v>38</v>
      </c>
      <c r="M994" s="1067"/>
      <c r="N994" s="420"/>
      <c r="O994"/>
      <c r="P994" s="412"/>
      <c r="Q994" s="391"/>
      <c r="T994" s="393"/>
    </row>
    <row r="995" spans="1:20" ht="30" customHeight="1" x14ac:dyDescent="0.25">
      <c r="A995" s="61">
        <v>93410</v>
      </c>
      <c r="B995" s="402" t="s">
        <v>1016</v>
      </c>
      <c r="C995" s="403"/>
      <c r="D995" s="404"/>
      <c r="E995" s="781">
        <f>+P905</f>
        <v>8</v>
      </c>
      <c r="F995" s="730" t="s">
        <v>307</v>
      </c>
      <c r="G995" s="777">
        <v>26</v>
      </c>
      <c r="H995" s="609" t="s">
        <v>927</v>
      </c>
      <c r="I995" s="821">
        <f>+R905</f>
        <v>0.9432470865927236</v>
      </c>
      <c r="J995" s="20"/>
      <c r="K995" s="530">
        <f>+E995*G995*I995</f>
        <v>196.19539401128651</v>
      </c>
      <c r="L995" s="61" t="s">
        <v>38</v>
      </c>
      <c r="M995" s="1067"/>
      <c r="N995" s="420"/>
      <c r="O995"/>
      <c r="P995" s="412"/>
      <c r="Q995" s="391"/>
      <c r="T995" s="393"/>
    </row>
    <row r="996" spans="1:20" ht="30" customHeight="1" x14ac:dyDescent="0.25">
      <c r="A996" s="61">
        <v>93210</v>
      </c>
      <c r="B996" s="402" t="s">
        <v>1017</v>
      </c>
      <c r="C996" s="403"/>
      <c r="D996" s="404"/>
      <c r="E996" s="781">
        <f>+P907</f>
        <v>44.901000000000003</v>
      </c>
      <c r="F996" s="730" t="s">
        <v>307</v>
      </c>
      <c r="G996" s="777">
        <v>26</v>
      </c>
      <c r="H996" s="609" t="s">
        <v>927</v>
      </c>
      <c r="I996" s="821">
        <f>+R907</f>
        <v>0.9432470865927236</v>
      </c>
      <c r="J996" s="20"/>
      <c r="K996" s="530">
        <f>+E996*G996*I996</f>
        <v>1101.1711733125971</v>
      </c>
      <c r="L996" s="61" t="s">
        <v>38</v>
      </c>
      <c r="M996" s="1067"/>
      <c r="N996" s="420"/>
      <c r="O996"/>
      <c r="P996" s="412"/>
      <c r="Q996" s="391"/>
      <c r="T996" s="393"/>
    </row>
    <row r="997" spans="1:20" ht="30" customHeight="1" x14ac:dyDescent="0.25">
      <c r="A997" s="61"/>
      <c r="B997" s="191"/>
      <c r="C997" s="191"/>
      <c r="D997" s="191"/>
      <c r="E997" s="405"/>
      <c r="F997" s="20"/>
      <c r="G997" s="838"/>
      <c r="H997" s="754"/>
      <c r="I997" s="20"/>
      <c r="J997" s="20" t="s">
        <v>646</v>
      </c>
      <c r="K997" s="530">
        <f>SUM(K993:K996)</f>
        <v>4665.1506072813399</v>
      </c>
      <c r="L997" s="61" t="s">
        <v>38</v>
      </c>
      <c r="M997" s="1067"/>
      <c r="N997" s="420"/>
      <c r="O997"/>
      <c r="P997" s="412"/>
      <c r="Q997" s="391"/>
      <c r="T997" s="393"/>
    </row>
    <row r="998" spans="1:20" ht="30" customHeight="1" thickBot="1" x14ac:dyDescent="0.3">
      <c r="A998" s="61"/>
      <c r="B998" s="20"/>
      <c r="C998" s="18"/>
      <c r="D998" s="18"/>
      <c r="E998" s="18"/>
      <c r="F998" s="18"/>
      <c r="G998" s="413" t="s">
        <v>537</v>
      </c>
      <c r="H998" s="18"/>
      <c r="I998" s="18"/>
      <c r="J998" s="361">
        <f>VLOOKUP(B991,'Mil Cost Premiums for RUCs'!$A$4:$R$265,18,FALSE)</f>
        <v>1.0485669999999998</v>
      </c>
      <c r="K998" s="21">
        <f>+K997*J998</f>
        <v>4891.7229768251718</v>
      </c>
      <c r="L998" s="61" t="s">
        <v>38</v>
      </c>
      <c r="M998" s="1067"/>
      <c r="N998" s="420"/>
      <c r="O998"/>
      <c r="P998" s="412"/>
      <c r="Q998" s="391"/>
      <c r="T998" s="393"/>
    </row>
    <row r="999" spans="1:20" ht="30" customHeight="1" thickBot="1" x14ac:dyDescent="0.3">
      <c r="A999" s="76"/>
      <c r="B999" s="77"/>
      <c r="C999" s="77"/>
      <c r="D999" s="77"/>
      <c r="E999" s="77"/>
      <c r="F999" s="77"/>
      <c r="G999" s="77"/>
      <c r="H999" s="77"/>
      <c r="I999" s="77"/>
      <c r="J999" s="77"/>
      <c r="K999" s="77"/>
      <c r="L999" s="78"/>
      <c r="M999" s="1067"/>
      <c r="N999" s="420"/>
      <c r="O999"/>
      <c r="P999" s="412"/>
      <c r="Q999" s="391"/>
      <c r="T999" s="393"/>
    </row>
    <row r="1000" spans="1:20" ht="65.25" customHeight="1" x14ac:dyDescent="0.25">
      <c r="A1000" s="417" t="s">
        <v>288</v>
      </c>
      <c r="B1000" s="418">
        <v>1762</v>
      </c>
      <c r="C1000" s="415" t="s">
        <v>1018</v>
      </c>
      <c r="D1000" s="416"/>
      <c r="E1000" s="540" t="s">
        <v>291</v>
      </c>
      <c r="F1000" s="541" t="s">
        <v>50</v>
      </c>
      <c r="G1000" s="693" t="s">
        <v>912</v>
      </c>
      <c r="H1000" s="840">
        <v>2</v>
      </c>
      <c r="I1000" s="540" t="s">
        <v>292</v>
      </c>
      <c r="J1000" s="488" t="s">
        <v>3401</v>
      </c>
      <c r="K1000" s="488"/>
      <c r="L1000" s="489"/>
      <c r="M1000" s="1067"/>
      <c r="N1000" s="420"/>
      <c r="O1000"/>
      <c r="P1000" s="412"/>
      <c r="Q1000" s="391"/>
      <c r="T1000" s="393"/>
    </row>
    <row r="1001" spans="1:20" ht="30" customHeight="1" x14ac:dyDescent="0.25">
      <c r="A1001" s="424" t="s">
        <v>517</v>
      </c>
      <c r="B1001" s="543" t="s">
        <v>560</v>
      </c>
      <c r="C1001" s="544"/>
      <c r="D1001" s="545"/>
      <c r="E1001" s="546" t="s">
        <v>519</v>
      </c>
      <c r="F1001" s="546" t="s">
        <v>561</v>
      </c>
      <c r="G1001" s="547" t="s">
        <v>562</v>
      </c>
      <c r="H1001" s="548"/>
      <c r="I1001" s="549" t="s">
        <v>530</v>
      </c>
      <c r="J1001" s="675" t="s">
        <v>533</v>
      </c>
      <c r="K1001" s="507" t="s">
        <v>521</v>
      </c>
      <c r="L1001" s="508"/>
      <c r="M1001" s="1067"/>
      <c r="N1001" s="420"/>
      <c r="O1001"/>
      <c r="P1001" s="412"/>
      <c r="Q1001" s="391"/>
      <c r="T1001" s="393"/>
    </row>
    <row r="1002" spans="1:20" s="49" customFormat="1" ht="30" customHeight="1" x14ac:dyDescent="0.25">
      <c r="A1002" s="10">
        <v>85110</v>
      </c>
      <c r="B1002" s="346" t="s">
        <v>1019</v>
      </c>
      <c r="C1002" s="347"/>
      <c r="D1002" s="348"/>
      <c r="E1002" s="781">
        <f>+P904/9</f>
        <v>6.333333333333333</v>
      </c>
      <c r="F1002" s="10" t="s">
        <v>9</v>
      </c>
      <c r="G1002" s="841">
        <v>128</v>
      </c>
      <c r="H1002" s="842" t="s">
        <v>1020</v>
      </c>
      <c r="I1002" s="843">
        <f>+'MILCON Inflation Table'!F16</f>
        <v>0.96211202832457809</v>
      </c>
      <c r="J1002" s="10"/>
      <c r="K1002" s="326">
        <f>+E1002*G1002*I1002</f>
        <v>779.95215096179129</v>
      </c>
      <c r="L1002" s="10" t="s">
        <v>50</v>
      </c>
      <c r="M1002" s="1897"/>
      <c r="N1002" s="420"/>
      <c r="P1002" s="412"/>
      <c r="Q1002" s="391"/>
      <c r="T1002" s="393"/>
    </row>
    <row r="1003" spans="1:20" ht="30" customHeight="1" x14ac:dyDescent="0.25">
      <c r="A1003" s="10">
        <v>93410</v>
      </c>
      <c r="B1003" s="346" t="s">
        <v>1021</v>
      </c>
      <c r="C1003" s="347"/>
      <c r="D1003" s="348"/>
      <c r="E1003" s="781">
        <f>+P905</f>
        <v>8</v>
      </c>
      <c r="F1003" s="844" t="s">
        <v>307</v>
      </c>
      <c r="G1003" s="841">
        <v>52</v>
      </c>
      <c r="H1003" s="842" t="s">
        <v>1022</v>
      </c>
      <c r="I1003" s="843">
        <f>+'MILCON Inflation Table'!F16</f>
        <v>0.96211202832457809</v>
      </c>
      <c r="J1003" s="10"/>
      <c r="K1003" s="326">
        <f>+E1003*G1003*I1003</f>
        <v>400.23860378302447</v>
      </c>
      <c r="L1003" s="10" t="s">
        <v>50</v>
      </c>
      <c r="M1003" s="1067"/>
      <c r="N1003" s="420"/>
      <c r="O1003"/>
      <c r="P1003" s="412"/>
      <c r="Q1003" s="391"/>
      <c r="T1003" s="393"/>
    </row>
    <row r="1004" spans="1:20" ht="30" customHeight="1" x14ac:dyDescent="0.25">
      <c r="A1004" s="10">
        <v>93210</v>
      </c>
      <c r="B1004" s="346" t="s">
        <v>1023</v>
      </c>
      <c r="C1004" s="347"/>
      <c r="D1004" s="348"/>
      <c r="E1004" s="781">
        <f>+P907</f>
        <v>44.901000000000003</v>
      </c>
      <c r="F1004" s="844" t="s">
        <v>307</v>
      </c>
      <c r="G1004" s="841">
        <v>20</v>
      </c>
      <c r="H1004" s="842" t="s">
        <v>1022</v>
      </c>
      <c r="I1004" s="843">
        <f>+'MILCON Inflation Table'!F16</f>
        <v>0.96211202832457809</v>
      </c>
      <c r="J1004" s="10"/>
      <c r="K1004" s="326">
        <f>+E1004*G1004*I1004</f>
        <v>863.99584367603768</v>
      </c>
      <c r="L1004" s="10" t="s">
        <v>50</v>
      </c>
      <c r="M1004" s="1067"/>
      <c r="N1004" s="420"/>
      <c r="O1004"/>
      <c r="P1004" s="412"/>
      <c r="Q1004" s="391"/>
      <c r="T1004" s="393"/>
    </row>
    <row r="1005" spans="1:20" ht="30" customHeight="1" x14ac:dyDescent="0.25">
      <c r="A1005" s="10"/>
      <c r="B1005" s="701"/>
      <c r="C1005" s="701"/>
      <c r="D1005" s="701"/>
      <c r="E1005" s="326"/>
      <c r="F1005" s="10"/>
      <c r="G1005" s="845"/>
      <c r="H1005" s="846"/>
      <c r="I1005" s="10"/>
      <c r="J1005" s="10" t="s">
        <v>646</v>
      </c>
      <c r="K1005" s="326">
        <f>SUM(K1002:K1004)</f>
        <v>2044.1865984208534</v>
      </c>
      <c r="L1005" s="10" t="s">
        <v>50</v>
      </c>
      <c r="M1005" s="1067"/>
      <c r="N1005" s="420"/>
      <c r="O1005"/>
      <c r="P1005" s="412"/>
      <c r="Q1005" s="391"/>
      <c r="T1005" s="393"/>
    </row>
    <row r="1006" spans="1:20" ht="30" customHeight="1" x14ac:dyDescent="0.25">
      <c r="A1006" s="10"/>
      <c r="B1006" s="10"/>
      <c r="C1006" s="13"/>
      <c r="D1006" s="13"/>
      <c r="E1006" s="13"/>
      <c r="F1006" s="13"/>
      <c r="G1006" s="13"/>
      <c r="H1006" s="13"/>
      <c r="I1006" s="13"/>
      <c r="J1006" s="10" t="s">
        <v>358</v>
      </c>
      <c r="K1006" s="14">
        <f>+K1005</f>
        <v>2044.1865984208534</v>
      </c>
      <c r="L1006" s="10" t="s">
        <v>50</v>
      </c>
      <c r="M1006" s="1067"/>
      <c r="N1006" s="420"/>
      <c r="O1006"/>
      <c r="P1006" s="412"/>
      <c r="Q1006" s="391"/>
      <c r="T1006" s="393"/>
    </row>
    <row r="1007" spans="1:20" ht="30" customHeight="1" x14ac:dyDescent="0.25">
      <c r="A1007" s="453" t="s">
        <v>539</v>
      </c>
      <c r="B1007" s="847"/>
      <c r="C1007" s="848"/>
      <c r="D1007" s="386" t="s">
        <v>1024</v>
      </c>
      <c r="E1007" s="849"/>
      <c r="F1007" s="849"/>
      <c r="G1007" s="849"/>
      <c r="H1007" s="849"/>
      <c r="I1007" s="849"/>
      <c r="J1007" s="849"/>
      <c r="K1007" s="849"/>
      <c r="L1007" s="850"/>
      <c r="M1007" s="1067"/>
      <c r="N1007" s="420"/>
      <c r="O1007"/>
      <c r="P1007" s="412"/>
      <c r="Q1007" s="391"/>
      <c r="T1007" s="393"/>
    </row>
    <row r="1008" spans="1:20" ht="30" customHeight="1" x14ac:dyDescent="0.25">
      <c r="A1008" s="453" t="s">
        <v>541</v>
      </c>
      <c r="B1008" s="847"/>
      <c r="C1008" s="848"/>
      <c r="D1008" s="386" t="s">
        <v>1025</v>
      </c>
      <c r="E1008" s="849"/>
      <c r="F1008" s="849"/>
      <c r="G1008" s="849"/>
      <c r="H1008" s="849"/>
      <c r="I1008" s="849"/>
      <c r="J1008" s="849"/>
      <c r="K1008" s="849"/>
      <c r="L1008" s="850"/>
      <c r="M1008" s="1067"/>
      <c r="N1008" s="420"/>
      <c r="O1008"/>
      <c r="P1008" s="412"/>
      <c r="Q1008" s="391"/>
      <c r="T1008" s="393"/>
    </row>
    <row r="1009" spans="1:20" ht="45" customHeight="1" x14ac:dyDescent="0.25">
      <c r="A1009" s="453" t="s">
        <v>543</v>
      </c>
      <c r="B1009" s="847"/>
      <c r="C1009" s="848"/>
      <c r="D1009" s="386" t="s">
        <v>1026</v>
      </c>
      <c r="E1009" s="849"/>
      <c r="F1009" s="849"/>
      <c r="G1009" s="849"/>
      <c r="H1009" s="849"/>
      <c r="I1009" s="849"/>
      <c r="J1009" s="849"/>
      <c r="K1009" s="849"/>
      <c r="L1009" s="850"/>
      <c r="M1009" s="1067"/>
      <c r="N1009" s="420"/>
      <c r="O1009"/>
      <c r="P1009" s="412"/>
      <c r="Q1009" s="391"/>
      <c r="T1009" s="393"/>
    </row>
    <row r="1010" spans="1:20" s="49" customFormat="1" ht="30" customHeight="1" x14ac:dyDescent="0.25">
      <c r="A1010" s="453" t="s">
        <v>546</v>
      </c>
      <c r="B1010" s="847"/>
      <c r="C1010" s="848"/>
      <c r="D1010" s="386" t="s">
        <v>1027</v>
      </c>
      <c r="E1010" s="849"/>
      <c r="F1010" s="849"/>
      <c r="G1010" s="849"/>
      <c r="H1010" s="849"/>
      <c r="I1010" s="849"/>
      <c r="J1010" s="849"/>
      <c r="K1010" s="849"/>
      <c r="L1010" s="850"/>
      <c r="M1010" s="1897"/>
      <c r="N1010" s="420"/>
      <c r="P1010" s="412"/>
      <c r="Q1010" s="391"/>
      <c r="T1010" s="393"/>
    </row>
    <row r="1011" spans="1:20" ht="30" customHeight="1" x14ac:dyDescent="0.25">
      <c r="A1011" s="453" t="s">
        <v>548</v>
      </c>
      <c r="B1011" s="847"/>
      <c r="C1011" s="848"/>
      <c r="D1011" s="386" t="s">
        <v>1028</v>
      </c>
      <c r="E1011" s="849"/>
      <c r="F1011" s="849"/>
      <c r="G1011" s="849"/>
      <c r="H1011" s="849"/>
      <c r="I1011" s="849"/>
      <c r="J1011" s="849"/>
      <c r="K1011" s="849"/>
      <c r="L1011" s="850"/>
      <c r="M1011" s="1067"/>
      <c r="N1011" s="420"/>
      <c r="O1011"/>
      <c r="P1011" s="412"/>
      <c r="Q1011" s="391"/>
      <c r="T1011" s="393"/>
    </row>
    <row r="1012" spans="1:20" ht="30" customHeight="1" x14ac:dyDescent="0.25">
      <c r="A1012" s="453" t="s">
        <v>550</v>
      </c>
      <c r="B1012" s="847"/>
      <c r="C1012" s="848"/>
      <c r="D1012" s="386" t="s">
        <v>1029</v>
      </c>
      <c r="E1012" s="849"/>
      <c r="F1012" s="849"/>
      <c r="G1012" s="849"/>
      <c r="H1012" s="849"/>
      <c r="I1012" s="849"/>
      <c r="J1012" s="849"/>
      <c r="K1012" s="849"/>
      <c r="L1012" s="850"/>
      <c r="M1012" s="1067"/>
      <c r="N1012" s="420"/>
      <c r="O1012"/>
      <c r="P1012" s="412"/>
      <c r="Q1012" s="391"/>
      <c r="T1012" s="393"/>
    </row>
    <row r="1013" spans="1:20" ht="30" customHeight="1" x14ac:dyDescent="0.25">
      <c r="A1013" s="453" t="s">
        <v>552</v>
      </c>
      <c r="B1013" s="847"/>
      <c r="C1013" s="848"/>
      <c r="D1013" s="386" t="s">
        <v>1030</v>
      </c>
      <c r="E1013" s="849"/>
      <c r="F1013" s="849"/>
      <c r="G1013" s="849"/>
      <c r="H1013" s="849"/>
      <c r="I1013" s="849"/>
      <c r="J1013" s="849"/>
      <c r="K1013" s="849"/>
      <c r="L1013" s="850"/>
      <c r="M1013" s="1067"/>
      <c r="N1013" s="420"/>
      <c r="O1013"/>
      <c r="P1013" s="412"/>
      <c r="Q1013" s="391"/>
      <c r="T1013" s="393"/>
    </row>
    <row r="1014" spans="1:20" ht="45" customHeight="1" x14ac:dyDescent="0.25">
      <c r="A1014" s="453" t="s">
        <v>1031</v>
      </c>
      <c r="B1014" s="847"/>
      <c r="C1014" s="848"/>
      <c r="D1014" s="851" t="s">
        <v>1032</v>
      </c>
      <c r="E1014" s="852"/>
      <c r="F1014" s="852"/>
      <c r="G1014" s="852"/>
      <c r="H1014" s="852"/>
      <c r="I1014" s="852"/>
      <c r="J1014" s="852"/>
      <c r="K1014" s="852"/>
      <c r="L1014" s="853"/>
      <c r="M1014" s="1067"/>
      <c r="N1014" s="420"/>
      <c r="O1014"/>
      <c r="P1014" s="412"/>
      <c r="Q1014" s="391"/>
      <c r="T1014" s="393"/>
    </row>
    <row r="1015" spans="1:20" ht="60" customHeight="1" thickBot="1" x14ac:dyDescent="0.3">
      <c r="A1015" s="563" t="s">
        <v>556</v>
      </c>
      <c r="B1015" s="383"/>
      <c r="C1015" s="384"/>
      <c r="D1015" s="854" t="s">
        <v>1033</v>
      </c>
      <c r="E1015" s="709"/>
      <c r="F1015" s="709"/>
      <c r="G1015" s="709"/>
      <c r="H1015" s="709"/>
      <c r="I1015" s="709"/>
      <c r="J1015" s="709"/>
      <c r="K1015" s="709"/>
      <c r="L1015" s="710"/>
      <c r="M1015" s="1067"/>
      <c r="N1015" s="420"/>
      <c r="O1015"/>
      <c r="P1015" s="412"/>
      <c r="Q1015" s="391"/>
      <c r="T1015" s="393"/>
    </row>
    <row r="1016" spans="1:20" ht="30" customHeight="1" thickBot="1" x14ac:dyDescent="0.3">
      <c r="A1016" s="76"/>
      <c r="B1016" s="77"/>
      <c r="C1016" s="77"/>
      <c r="D1016" s="77"/>
      <c r="E1016" s="77"/>
      <c r="F1016" s="77"/>
      <c r="G1016" s="77"/>
      <c r="H1016" s="77"/>
      <c r="I1016" s="77"/>
      <c r="J1016" s="77"/>
      <c r="K1016" s="77"/>
      <c r="L1016" s="78"/>
      <c r="M1016" s="1067"/>
      <c r="N1016" s="420"/>
      <c r="O1016"/>
      <c r="P1016" s="412"/>
      <c r="Q1016" s="391"/>
      <c r="T1016" s="393"/>
    </row>
    <row r="1017" spans="1:20" ht="75" customHeight="1" x14ac:dyDescent="0.25">
      <c r="A1017" s="30" t="s">
        <v>288</v>
      </c>
      <c r="B1017" s="31">
        <v>1763</v>
      </c>
      <c r="C1017" s="209" t="s">
        <v>1034</v>
      </c>
      <c r="D1017" s="210"/>
      <c r="E1017" s="36" t="s">
        <v>291</v>
      </c>
      <c r="F1017" s="37" t="s">
        <v>38</v>
      </c>
      <c r="G1017" s="163" t="s">
        <v>1035</v>
      </c>
      <c r="H1017" s="487">
        <v>1</v>
      </c>
      <c r="I1017" s="36" t="s">
        <v>292</v>
      </c>
      <c r="J1017" s="38" t="s">
        <v>3385</v>
      </c>
      <c r="K1017" s="38"/>
      <c r="L1017" s="389"/>
      <c r="M1017" s="856"/>
      <c r="N1017" s="420"/>
      <c r="O1017"/>
      <c r="P1017" s="412"/>
      <c r="Q1017" s="391"/>
      <c r="T1017" s="393"/>
    </row>
    <row r="1018" spans="1:20" ht="30" customHeight="1" x14ac:dyDescent="0.25">
      <c r="A1018" s="44" t="s">
        <v>913</v>
      </c>
      <c r="B1018" s="490" t="s">
        <v>560</v>
      </c>
      <c r="C1018" s="491"/>
      <c r="D1018" s="492"/>
      <c r="E1018" s="793" t="s">
        <v>519</v>
      </c>
      <c r="F1018" s="793" t="s">
        <v>561</v>
      </c>
      <c r="G1018" s="626" t="s">
        <v>562</v>
      </c>
      <c r="H1018" s="627"/>
      <c r="I1018" s="181" t="s">
        <v>530</v>
      </c>
      <c r="J1018" s="44" t="s">
        <v>533</v>
      </c>
      <c r="K1018" s="507" t="s">
        <v>521</v>
      </c>
      <c r="L1018" s="508"/>
      <c r="M1018" s="1067"/>
      <c r="N1018" s="420"/>
      <c r="O1018"/>
      <c r="P1018" s="412"/>
      <c r="Q1018" s="391"/>
      <c r="T1018" s="393"/>
    </row>
    <row r="1019" spans="1:20" s="49" customFormat="1" ht="30" customHeight="1" x14ac:dyDescent="0.25">
      <c r="A1019" s="44"/>
      <c r="B1019" s="62" t="s">
        <v>1036</v>
      </c>
      <c r="C1019" s="62"/>
      <c r="D1019" s="62"/>
      <c r="E1019" s="793"/>
      <c r="F1019" s="793"/>
      <c r="G1019" s="835"/>
      <c r="H1019" s="836"/>
      <c r="I1019" s="855"/>
      <c r="J1019" s="855"/>
      <c r="K1019" s="793"/>
      <c r="L1019" s="793"/>
      <c r="M1019" s="1897"/>
      <c r="N1019" s="420"/>
      <c r="P1019" s="412"/>
      <c r="Q1019" s="391"/>
      <c r="T1019" s="393"/>
    </row>
    <row r="1020" spans="1:20" ht="30" customHeight="1" x14ac:dyDescent="0.25">
      <c r="A1020" s="61" t="s">
        <v>849</v>
      </c>
      <c r="B1020" s="191" t="s">
        <v>1037</v>
      </c>
      <c r="C1020" s="191"/>
      <c r="D1020" s="191"/>
      <c r="E1020" s="781">
        <f>+P887</f>
        <v>10.805</v>
      </c>
      <c r="F1020" s="61" t="s">
        <v>9</v>
      </c>
      <c r="G1020" s="777">
        <f>9*468</f>
        <v>4212</v>
      </c>
      <c r="H1020" s="634" t="s">
        <v>915</v>
      </c>
      <c r="I1020" s="751">
        <f>+R887</f>
        <v>1.04</v>
      </c>
      <c r="J1020" s="751">
        <f>+S887</f>
        <v>1.0490196078431373</v>
      </c>
      <c r="K1020" s="530">
        <f t="shared" ref="K1020:K1028" si="7">+E1020*G1020*I1020*J1020</f>
        <v>49651.237694117648</v>
      </c>
      <c r="L1020" s="61" t="s">
        <v>38</v>
      </c>
      <c r="M1020" s="1067"/>
      <c r="N1020" s="420"/>
      <c r="O1020"/>
      <c r="P1020" s="412"/>
      <c r="Q1020" s="391"/>
      <c r="T1020" s="393"/>
    </row>
    <row r="1021" spans="1:20" ht="30" customHeight="1" x14ac:dyDescent="0.25">
      <c r="A1021" s="61" t="s">
        <v>780</v>
      </c>
      <c r="B1021" s="191" t="s">
        <v>1038</v>
      </c>
      <c r="C1021" s="191"/>
      <c r="D1021" s="191"/>
      <c r="E1021" s="781">
        <f>+P888</f>
        <v>17.95</v>
      </c>
      <c r="F1021" s="61" t="s">
        <v>9</v>
      </c>
      <c r="G1021" s="777">
        <f>2153*2</f>
        <v>4306</v>
      </c>
      <c r="H1021" s="634" t="s">
        <v>915</v>
      </c>
      <c r="I1021" s="751">
        <f>+R888</f>
        <v>1.04</v>
      </c>
      <c r="J1021" s="751">
        <f>+S888</f>
        <v>1.0490196078431373</v>
      </c>
      <c r="K1021" s="530">
        <f t="shared" si="7"/>
        <v>84324.820156862741</v>
      </c>
      <c r="L1021" s="61" t="s">
        <v>38</v>
      </c>
      <c r="M1021" s="1067"/>
      <c r="N1021" s="420"/>
      <c r="O1021"/>
      <c r="P1021" s="412"/>
      <c r="Q1021" s="391"/>
      <c r="T1021" s="393"/>
    </row>
    <row r="1022" spans="1:20" ht="30" customHeight="1" x14ac:dyDescent="0.25">
      <c r="A1022" s="61" t="s">
        <v>916</v>
      </c>
      <c r="B1022" s="191" t="s">
        <v>953</v>
      </c>
      <c r="C1022" s="191"/>
      <c r="D1022" s="191"/>
      <c r="E1022" s="781">
        <f>+P891</f>
        <v>800</v>
      </c>
      <c r="F1022" s="644" t="s">
        <v>11</v>
      </c>
      <c r="G1022" s="777">
        <v>11</v>
      </c>
      <c r="H1022" s="634" t="s">
        <v>918</v>
      </c>
      <c r="I1022" s="751">
        <f>+R891</f>
        <v>1.02</v>
      </c>
      <c r="J1022" s="751">
        <f>+S891</f>
        <v>1.0490196078431373</v>
      </c>
      <c r="K1022" s="530">
        <f t="shared" si="7"/>
        <v>9416</v>
      </c>
      <c r="L1022" s="61" t="s">
        <v>38</v>
      </c>
      <c r="M1022" s="1067"/>
      <c r="N1022" s="420"/>
      <c r="O1022"/>
      <c r="P1022" s="412"/>
      <c r="Q1022" s="391"/>
      <c r="T1022" s="393"/>
    </row>
    <row r="1023" spans="1:20" ht="30" customHeight="1" x14ac:dyDescent="0.25">
      <c r="A1023" s="61" t="s">
        <v>760</v>
      </c>
      <c r="B1023" s="191" t="s">
        <v>1039</v>
      </c>
      <c r="C1023" s="191"/>
      <c r="D1023" s="191"/>
      <c r="E1023" s="781">
        <f>+P898</f>
        <v>17.125</v>
      </c>
      <c r="F1023" s="644" t="s">
        <v>7</v>
      </c>
      <c r="G1023" s="777">
        <f>656*2</f>
        <v>1312</v>
      </c>
      <c r="H1023" s="634" t="s">
        <v>924</v>
      </c>
      <c r="I1023" s="751">
        <f>+R898</f>
        <v>1.02</v>
      </c>
      <c r="J1023" s="751">
        <f>+S898</f>
        <v>1.0490196078431373</v>
      </c>
      <c r="K1023" s="530">
        <f t="shared" si="7"/>
        <v>24040.760000000002</v>
      </c>
      <c r="L1023" s="61" t="s">
        <v>38</v>
      </c>
      <c r="M1023" s="1067"/>
      <c r="N1023" s="420"/>
      <c r="O1023"/>
      <c r="P1023" s="412"/>
      <c r="Q1023" s="391"/>
      <c r="T1023" s="393"/>
    </row>
    <row r="1024" spans="1:20" ht="30" customHeight="1" x14ac:dyDescent="0.25">
      <c r="A1024" s="61" t="s">
        <v>760</v>
      </c>
      <c r="B1024" s="191" t="s">
        <v>1040</v>
      </c>
      <c r="C1024" s="191"/>
      <c r="D1024" s="191"/>
      <c r="E1024" s="781">
        <f>+P899</f>
        <v>2617.5</v>
      </c>
      <c r="F1024" s="644" t="s">
        <v>11</v>
      </c>
      <c r="G1024" s="777">
        <v>2</v>
      </c>
      <c r="H1024" s="634" t="s">
        <v>934</v>
      </c>
      <c r="I1024" s="751">
        <f>+R899</f>
        <v>1.02</v>
      </c>
      <c r="J1024" s="751">
        <f>+S899</f>
        <v>1.0490196078431373</v>
      </c>
      <c r="K1024" s="530">
        <f t="shared" si="7"/>
        <v>5601.45</v>
      </c>
      <c r="L1024" s="61" t="s">
        <v>38</v>
      </c>
      <c r="M1024" s="1067"/>
      <c r="N1024" s="420"/>
      <c r="O1024"/>
      <c r="P1024" s="412"/>
      <c r="Q1024" s="391"/>
      <c r="T1024" s="393"/>
    </row>
    <row r="1025" spans="1:20" ht="30" customHeight="1" x14ac:dyDescent="0.25">
      <c r="A1025" s="61" t="s">
        <v>916</v>
      </c>
      <c r="B1025" s="191" t="s">
        <v>1004</v>
      </c>
      <c r="C1025" s="191"/>
      <c r="D1025" s="191"/>
      <c r="E1025" s="781">
        <f>+P894</f>
        <v>985</v>
      </c>
      <c r="F1025" s="644" t="s">
        <v>11</v>
      </c>
      <c r="G1025" s="777">
        <v>11</v>
      </c>
      <c r="H1025" s="634" t="s">
        <v>918</v>
      </c>
      <c r="I1025" s="751">
        <f t="shared" ref="I1025:J1027" si="8">+R894</f>
        <v>1.02</v>
      </c>
      <c r="J1025" s="751">
        <f t="shared" si="8"/>
        <v>1.0490196078431373</v>
      </c>
      <c r="K1025" s="530">
        <f t="shared" si="7"/>
        <v>11593.45</v>
      </c>
      <c r="L1025" s="61" t="s">
        <v>38</v>
      </c>
      <c r="M1025" s="856"/>
      <c r="N1025" s="420"/>
      <c r="O1025"/>
      <c r="P1025" s="412"/>
      <c r="Q1025" s="391"/>
      <c r="T1025" s="393"/>
    </row>
    <row r="1026" spans="1:20" ht="30" customHeight="1" x14ac:dyDescent="0.25">
      <c r="A1026" s="61" t="s">
        <v>920</v>
      </c>
      <c r="B1026" s="191" t="s">
        <v>1041</v>
      </c>
      <c r="C1026" s="191"/>
      <c r="D1026" s="191"/>
      <c r="E1026" s="781">
        <f>+P895</f>
        <v>137.85</v>
      </c>
      <c r="F1026" s="644" t="s">
        <v>11</v>
      </c>
      <c r="G1026" s="777">
        <v>53</v>
      </c>
      <c r="H1026" s="634" t="s">
        <v>918</v>
      </c>
      <c r="I1026" s="751">
        <f t="shared" si="8"/>
        <v>1.02</v>
      </c>
      <c r="J1026" s="751">
        <f t="shared" si="8"/>
        <v>1.0490196078431373</v>
      </c>
      <c r="K1026" s="530">
        <f t="shared" si="7"/>
        <v>7817.4735000000001</v>
      </c>
      <c r="L1026" s="61" t="s">
        <v>38</v>
      </c>
      <c r="M1026" s="1067"/>
      <c r="N1026" s="420"/>
      <c r="O1026"/>
      <c r="P1026" s="412"/>
      <c r="Q1026" s="391"/>
      <c r="T1026" s="393"/>
    </row>
    <row r="1027" spans="1:20" ht="30" customHeight="1" x14ac:dyDescent="0.25">
      <c r="A1027" s="61" t="s">
        <v>922</v>
      </c>
      <c r="B1027" s="402" t="s">
        <v>1042</v>
      </c>
      <c r="C1027" s="403"/>
      <c r="D1027" s="404"/>
      <c r="E1027" s="781">
        <f>+P896</f>
        <v>17.110000000000003</v>
      </c>
      <c r="F1027" s="644" t="s">
        <v>7</v>
      </c>
      <c r="G1027" s="777">
        <v>20825</v>
      </c>
      <c r="H1027" s="634" t="s">
        <v>924</v>
      </c>
      <c r="I1027" s="751">
        <f t="shared" si="8"/>
        <v>1.02</v>
      </c>
      <c r="J1027" s="751">
        <f t="shared" si="8"/>
        <v>1.0490196078431373</v>
      </c>
      <c r="K1027" s="530">
        <f t="shared" si="7"/>
        <v>381257.8525000001</v>
      </c>
      <c r="L1027" s="61" t="s">
        <v>38</v>
      </c>
      <c r="M1027" s="1935"/>
      <c r="O1027"/>
      <c r="P1027" s="412"/>
      <c r="Q1027" s="391"/>
      <c r="T1027" s="393"/>
    </row>
    <row r="1028" spans="1:20" ht="30" customHeight="1" x14ac:dyDescent="0.25">
      <c r="A1028" s="61" t="s">
        <v>849</v>
      </c>
      <c r="B1028" s="402" t="s">
        <v>1043</v>
      </c>
      <c r="C1028" s="403"/>
      <c r="D1028" s="404"/>
      <c r="E1028" s="594">
        <f>+P888</f>
        <v>17.95</v>
      </c>
      <c r="F1028" s="644" t="s">
        <v>9</v>
      </c>
      <c r="G1028" s="777">
        <v>192</v>
      </c>
      <c r="H1028" s="634" t="s">
        <v>915</v>
      </c>
      <c r="I1028" s="751">
        <f>+R888</f>
        <v>1.04</v>
      </c>
      <c r="J1028" s="751">
        <f>+S888</f>
        <v>1.0490196078431373</v>
      </c>
      <c r="K1028" s="530">
        <f t="shared" si="7"/>
        <v>3759.9548235294119</v>
      </c>
      <c r="L1028" s="61" t="s">
        <v>38</v>
      </c>
      <c r="M1028" s="1935"/>
      <c r="O1028"/>
      <c r="P1028" s="412"/>
      <c r="Q1028" s="391"/>
      <c r="T1028" s="393"/>
    </row>
    <row r="1029" spans="1:20" ht="30" customHeight="1" x14ac:dyDescent="0.25">
      <c r="A1029" s="61">
        <v>93410</v>
      </c>
      <c r="B1029" s="402" t="s">
        <v>1044</v>
      </c>
      <c r="C1029" s="403"/>
      <c r="D1029" s="404"/>
      <c r="E1029" s="781">
        <f>+P905</f>
        <v>8</v>
      </c>
      <c r="F1029" s="644" t="s">
        <v>307</v>
      </c>
      <c r="G1029" s="777">
        <v>523</v>
      </c>
      <c r="H1029" s="634" t="s">
        <v>927</v>
      </c>
      <c r="I1029" s="821">
        <f>+R905</f>
        <v>0.9432470865927236</v>
      </c>
      <c r="J1029" s="20"/>
      <c r="K1029" s="530">
        <f>+E1029*G1029*I1029</f>
        <v>3946.5458103039555</v>
      </c>
      <c r="L1029" s="61" t="s">
        <v>38</v>
      </c>
      <c r="M1029" s="1067"/>
      <c r="N1029" s="420"/>
      <c r="O1029"/>
      <c r="P1029" s="412"/>
      <c r="Q1029" s="391"/>
      <c r="T1029" s="393"/>
    </row>
    <row r="1030" spans="1:20" ht="30" customHeight="1" x14ac:dyDescent="0.25">
      <c r="A1030" s="61"/>
      <c r="B1030" s="192"/>
      <c r="C1030" s="192"/>
      <c r="D1030" s="192"/>
      <c r="E1030" s="530"/>
      <c r="F1030" s="61"/>
      <c r="G1030" s="817"/>
      <c r="H1030" s="646"/>
      <c r="I1030" s="20"/>
      <c r="J1030" s="20" t="s">
        <v>646</v>
      </c>
      <c r="K1030" s="530">
        <f>SUM(K1020:K1029)</f>
        <v>581409.54448481393</v>
      </c>
      <c r="L1030" s="61" t="s">
        <v>38</v>
      </c>
      <c r="M1030" s="1067"/>
      <c r="N1030" s="420"/>
      <c r="O1030"/>
      <c r="P1030" s="412"/>
      <c r="Q1030" s="391"/>
      <c r="T1030" s="393"/>
    </row>
    <row r="1031" spans="1:20" ht="30" customHeight="1" thickBot="1" x14ac:dyDescent="0.3">
      <c r="A1031" s="61"/>
      <c r="B1031" s="61"/>
      <c r="C1031" s="63"/>
      <c r="D1031" s="63"/>
      <c r="E1031" s="63"/>
      <c r="F1031" s="63"/>
      <c r="G1031" s="445" t="s">
        <v>537</v>
      </c>
      <c r="H1031" s="63"/>
      <c r="I1031" s="18"/>
      <c r="J1031" s="361">
        <f>VLOOKUP(B1017,'Mil Cost Premiums for RUCs'!$A$4:$R$265,18,FALSE)</f>
        <v>1.0485669999999998</v>
      </c>
      <c r="K1031" s="21">
        <f>+K1030*J1031</f>
        <v>609646.86183180776</v>
      </c>
      <c r="L1031" s="61" t="s">
        <v>38</v>
      </c>
      <c r="M1031" s="1067"/>
      <c r="N1031" s="420"/>
      <c r="O1031"/>
      <c r="P1031" s="412"/>
      <c r="Q1031" s="391"/>
      <c r="T1031" s="393"/>
    </row>
    <row r="1032" spans="1:20" ht="30" customHeight="1" thickBot="1" x14ac:dyDescent="0.3">
      <c r="A1032" s="76"/>
      <c r="B1032" s="77"/>
      <c r="C1032" s="77"/>
      <c r="D1032" s="77"/>
      <c r="E1032" s="77"/>
      <c r="F1032" s="77"/>
      <c r="G1032" s="77"/>
      <c r="H1032" s="77"/>
      <c r="I1032" s="77"/>
      <c r="J1032" s="77"/>
      <c r="K1032" s="77"/>
      <c r="L1032" s="78"/>
      <c r="M1032" s="1067"/>
      <c r="N1032" s="420"/>
      <c r="O1032"/>
      <c r="P1032" s="412"/>
      <c r="Q1032" s="391"/>
      <c r="T1032" s="393"/>
    </row>
    <row r="1033" spans="1:20" ht="75" customHeight="1" x14ac:dyDescent="0.25">
      <c r="A1033" s="30" t="s">
        <v>288</v>
      </c>
      <c r="B1033" s="31">
        <v>1764</v>
      </c>
      <c r="C1033" s="209" t="s">
        <v>1045</v>
      </c>
      <c r="D1033" s="210"/>
      <c r="E1033" s="36" t="s">
        <v>291</v>
      </c>
      <c r="F1033" s="37" t="s">
        <v>50</v>
      </c>
      <c r="G1033" s="163" t="s">
        <v>1046</v>
      </c>
      <c r="H1033" s="487">
        <v>1</v>
      </c>
      <c r="I1033" s="36" t="s">
        <v>292</v>
      </c>
      <c r="J1033" s="38" t="s">
        <v>3385</v>
      </c>
      <c r="K1033" s="38"/>
      <c r="L1033" s="389"/>
      <c r="M1033" s="1067"/>
      <c r="N1033" s="420"/>
      <c r="O1033"/>
      <c r="P1033" s="412"/>
      <c r="Q1033" s="391"/>
      <c r="T1033" s="393"/>
    </row>
    <row r="1034" spans="1:20" ht="30" customHeight="1" x14ac:dyDescent="0.25">
      <c r="A1034" s="44" t="s">
        <v>913</v>
      </c>
      <c r="B1034" s="490" t="s">
        <v>560</v>
      </c>
      <c r="C1034" s="491"/>
      <c r="D1034" s="492"/>
      <c r="E1034" s="793" t="s">
        <v>519</v>
      </c>
      <c r="F1034" s="793" t="s">
        <v>561</v>
      </c>
      <c r="G1034" s="626" t="s">
        <v>562</v>
      </c>
      <c r="H1034" s="627"/>
      <c r="I1034" s="181" t="s">
        <v>530</v>
      </c>
      <c r="J1034" s="675" t="s">
        <v>533</v>
      </c>
      <c r="K1034" s="507" t="s">
        <v>521</v>
      </c>
      <c r="L1034" s="508"/>
      <c r="M1034" s="1067"/>
      <c r="N1034" s="420"/>
      <c r="O1034"/>
      <c r="P1034" s="412"/>
      <c r="Q1034" s="391"/>
      <c r="T1034" s="393"/>
    </row>
    <row r="1035" spans="1:20" ht="30" customHeight="1" x14ac:dyDescent="0.25">
      <c r="A1035" s="44"/>
      <c r="B1035" s="503" t="s">
        <v>1047</v>
      </c>
      <c r="C1035" s="504"/>
      <c r="D1035" s="505"/>
      <c r="E1035" s="793"/>
      <c r="F1035" s="793"/>
      <c r="G1035" s="835"/>
      <c r="H1035" s="836"/>
      <c r="I1035" s="855"/>
      <c r="J1035" s="211"/>
      <c r="K1035" s="793"/>
      <c r="L1035" s="793"/>
      <c r="M1035" s="857"/>
      <c r="N1035" s="858"/>
      <c r="O1035"/>
      <c r="P1035" s="412"/>
      <c r="Q1035" s="391"/>
      <c r="T1035" s="393"/>
    </row>
    <row r="1036" spans="1:20" s="49" customFormat="1" ht="30" customHeight="1" x14ac:dyDescent="0.25">
      <c r="A1036" s="61" t="s">
        <v>849</v>
      </c>
      <c r="B1036" s="192" t="s">
        <v>1048</v>
      </c>
      <c r="C1036" s="192"/>
      <c r="D1036" s="192"/>
      <c r="E1036" s="781">
        <f>+P887</f>
        <v>10.805</v>
      </c>
      <c r="F1036" s="20" t="s">
        <v>9</v>
      </c>
      <c r="G1036" s="777">
        <f>12*468</f>
        <v>5616</v>
      </c>
      <c r="H1036" s="609" t="s">
        <v>1020</v>
      </c>
      <c r="I1036" s="751">
        <f>+R887</f>
        <v>1.04</v>
      </c>
      <c r="J1036" s="751">
        <f>+S887</f>
        <v>1.0490196078431373</v>
      </c>
      <c r="K1036" s="530">
        <f t="shared" ref="K1036:K1043" si="9">+E1036*G1036*I1036*J1036</f>
        <v>66201.650258823531</v>
      </c>
      <c r="L1036" s="61" t="s">
        <v>50</v>
      </c>
      <c r="M1036" s="857"/>
      <c r="N1036" s="858"/>
      <c r="P1036" s="412"/>
      <c r="Q1036" s="391"/>
      <c r="T1036" s="393"/>
    </row>
    <row r="1037" spans="1:20" ht="30" customHeight="1" x14ac:dyDescent="0.25">
      <c r="A1037" s="61" t="s">
        <v>780</v>
      </c>
      <c r="B1037" s="192" t="s">
        <v>1049</v>
      </c>
      <c r="C1037" s="192"/>
      <c r="D1037" s="192"/>
      <c r="E1037" s="781">
        <f>+P888</f>
        <v>17.95</v>
      </c>
      <c r="F1037" s="20" t="s">
        <v>9</v>
      </c>
      <c r="G1037" s="777">
        <f>3767*5</f>
        <v>18835</v>
      </c>
      <c r="H1037" s="609" t="s">
        <v>1020</v>
      </c>
      <c r="I1037" s="751">
        <f>+R888</f>
        <v>1.04</v>
      </c>
      <c r="J1037" s="751">
        <f>+S888</f>
        <v>1.0490196078431373</v>
      </c>
      <c r="K1037" s="530">
        <f t="shared" si="9"/>
        <v>368847.65156862751</v>
      </c>
      <c r="L1037" s="61" t="s">
        <v>50</v>
      </c>
      <c r="M1037" s="857"/>
      <c r="N1037" s="858"/>
      <c r="O1037"/>
      <c r="P1037" s="412"/>
      <c r="Q1037" s="391"/>
      <c r="T1037" s="393"/>
    </row>
    <row r="1038" spans="1:20" ht="30" customHeight="1" x14ac:dyDescent="0.25">
      <c r="A1038" s="61" t="s">
        <v>916</v>
      </c>
      <c r="B1038" s="192" t="s">
        <v>953</v>
      </c>
      <c r="C1038" s="192"/>
      <c r="D1038" s="192"/>
      <c r="E1038" s="781">
        <f>+P891</f>
        <v>800</v>
      </c>
      <c r="F1038" s="730" t="s">
        <v>11</v>
      </c>
      <c r="G1038" s="777">
        <v>17</v>
      </c>
      <c r="H1038" s="609" t="s">
        <v>1050</v>
      </c>
      <c r="I1038" s="751">
        <f>+R891</f>
        <v>1.02</v>
      </c>
      <c r="J1038" s="751">
        <f>+S891</f>
        <v>1.0490196078431373</v>
      </c>
      <c r="K1038" s="530">
        <f t="shared" si="9"/>
        <v>14552</v>
      </c>
      <c r="L1038" s="61" t="s">
        <v>50</v>
      </c>
      <c r="M1038" s="857"/>
      <c r="N1038" s="858"/>
      <c r="O1038"/>
      <c r="P1038" s="412"/>
      <c r="Q1038" s="391"/>
      <c r="T1038" s="393"/>
    </row>
    <row r="1039" spans="1:20" ht="30" customHeight="1" x14ac:dyDescent="0.25">
      <c r="A1039" s="61" t="s">
        <v>760</v>
      </c>
      <c r="B1039" s="192" t="s">
        <v>1051</v>
      </c>
      <c r="C1039" s="192"/>
      <c r="D1039" s="192"/>
      <c r="E1039" s="781">
        <f>+P898</f>
        <v>17.125</v>
      </c>
      <c r="F1039" s="730" t="s">
        <v>7</v>
      </c>
      <c r="G1039" s="777">
        <f>1148*5</f>
        <v>5740</v>
      </c>
      <c r="H1039" s="609" t="s">
        <v>1052</v>
      </c>
      <c r="I1039" s="751">
        <f>+R898</f>
        <v>1.02</v>
      </c>
      <c r="J1039" s="751">
        <f>+S898</f>
        <v>1.0490196078431373</v>
      </c>
      <c r="K1039" s="530">
        <f t="shared" si="9"/>
        <v>105178.325</v>
      </c>
      <c r="L1039" s="61" t="s">
        <v>50</v>
      </c>
      <c r="M1039" s="1067"/>
      <c r="N1039" s="420"/>
      <c r="O1039"/>
      <c r="P1039" s="412"/>
      <c r="Q1039" s="391"/>
      <c r="T1039" s="393"/>
    </row>
    <row r="1040" spans="1:20" ht="30" customHeight="1" x14ac:dyDescent="0.25">
      <c r="A1040" s="61" t="s">
        <v>760</v>
      </c>
      <c r="B1040" s="192" t="s">
        <v>1040</v>
      </c>
      <c r="C1040" s="192"/>
      <c r="D1040" s="192"/>
      <c r="E1040" s="781">
        <f>+P899</f>
        <v>2617.5</v>
      </c>
      <c r="F1040" s="730" t="s">
        <v>11</v>
      </c>
      <c r="G1040" s="777">
        <v>5</v>
      </c>
      <c r="H1040" s="609" t="s">
        <v>1050</v>
      </c>
      <c r="I1040" s="751">
        <f>+R899</f>
        <v>1.02</v>
      </c>
      <c r="J1040" s="751">
        <f>+S899</f>
        <v>1.0490196078431373</v>
      </c>
      <c r="K1040" s="530">
        <f t="shared" si="9"/>
        <v>14003.625</v>
      </c>
      <c r="L1040" s="61" t="s">
        <v>50</v>
      </c>
      <c r="M1040" s="1067"/>
      <c r="N1040" s="420"/>
      <c r="O1040"/>
      <c r="P1040" s="412"/>
      <c r="Q1040" s="391"/>
      <c r="T1040" s="393"/>
    </row>
    <row r="1041" spans="1:20" ht="30" customHeight="1" x14ac:dyDescent="0.25">
      <c r="A1041" s="61" t="s">
        <v>916</v>
      </c>
      <c r="B1041" s="192" t="s">
        <v>1004</v>
      </c>
      <c r="C1041" s="192"/>
      <c r="D1041" s="192"/>
      <c r="E1041" s="781">
        <f>+P894</f>
        <v>985</v>
      </c>
      <c r="F1041" s="730" t="s">
        <v>11</v>
      </c>
      <c r="G1041" s="777">
        <v>17</v>
      </c>
      <c r="H1041" s="609" t="s">
        <v>1050</v>
      </c>
      <c r="I1041" s="859">
        <f t="shared" ref="I1041:J1043" si="10">+R894</f>
        <v>1.02</v>
      </c>
      <c r="J1041" s="751">
        <f t="shared" si="10"/>
        <v>1.0490196078431373</v>
      </c>
      <c r="K1041" s="530">
        <f t="shared" si="9"/>
        <v>17917.150000000001</v>
      </c>
      <c r="L1041" s="61" t="s">
        <v>50</v>
      </c>
      <c r="M1041" s="1067"/>
      <c r="N1041" s="420"/>
      <c r="O1041"/>
      <c r="P1041" s="412"/>
      <c r="Q1041" s="391"/>
      <c r="T1041" s="393"/>
    </row>
    <row r="1042" spans="1:20" ht="30" customHeight="1" x14ac:dyDescent="0.25">
      <c r="A1042" s="61" t="s">
        <v>920</v>
      </c>
      <c r="B1042" s="192" t="s">
        <v>1041</v>
      </c>
      <c r="C1042" s="192"/>
      <c r="D1042" s="192"/>
      <c r="E1042" s="781">
        <f>+P895</f>
        <v>137.85</v>
      </c>
      <c r="F1042" s="730" t="s">
        <v>11</v>
      </c>
      <c r="G1042" s="777">
        <v>80</v>
      </c>
      <c r="H1042" s="609" t="s">
        <v>1050</v>
      </c>
      <c r="I1042" s="751">
        <f t="shared" si="10"/>
        <v>1.02</v>
      </c>
      <c r="J1042" s="751">
        <f t="shared" si="10"/>
        <v>1.0490196078431373</v>
      </c>
      <c r="K1042" s="530">
        <f t="shared" si="9"/>
        <v>11799.96</v>
      </c>
      <c r="L1042" s="61" t="s">
        <v>50</v>
      </c>
      <c r="M1042" s="1067"/>
      <c r="N1042" s="420"/>
      <c r="O1042"/>
      <c r="P1042" s="412"/>
      <c r="Q1042" s="391"/>
      <c r="T1042" s="393"/>
    </row>
    <row r="1043" spans="1:20" ht="30" customHeight="1" x14ac:dyDescent="0.25">
      <c r="A1043" s="61" t="s">
        <v>922</v>
      </c>
      <c r="B1043" s="192" t="s">
        <v>1053</v>
      </c>
      <c r="C1043" s="192"/>
      <c r="D1043" s="192"/>
      <c r="E1043" s="781">
        <f>+P896</f>
        <v>17.110000000000003</v>
      </c>
      <c r="F1043" s="730" t="s">
        <v>7</v>
      </c>
      <c r="G1043" s="777">
        <f>6761*17</f>
        <v>114937</v>
      </c>
      <c r="H1043" s="609" t="s">
        <v>1052</v>
      </c>
      <c r="I1043" s="751">
        <f t="shared" si="10"/>
        <v>1.02</v>
      </c>
      <c r="J1043" s="751">
        <f t="shared" si="10"/>
        <v>1.0490196078431373</v>
      </c>
      <c r="K1043" s="530">
        <f t="shared" si="9"/>
        <v>2104232.1149000004</v>
      </c>
      <c r="L1043" s="61" t="s">
        <v>50</v>
      </c>
      <c r="M1043" s="1067"/>
      <c r="N1043" s="420"/>
      <c r="O1043"/>
      <c r="P1043" s="412"/>
      <c r="Q1043" s="391"/>
      <c r="T1043" s="393"/>
    </row>
    <row r="1044" spans="1:20" ht="30" customHeight="1" x14ac:dyDescent="0.25">
      <c r="A1044" s="61">
        <v>93410</v>
      </c>
      <c r="B1044" s="236" t="s">
        <v>1054</v>
      </c>
      <c r="C1044" s="237"/>
      <c r="D1044" s="238"/>
      <c r="E1044" s="594">
        <f>+P906</f>
        <v>1.1000000000000001</v>
      </c>
      <c r="F1044" s="730" t="s">
        <v>3</v>
      </c>
      <c r="G1044" s="777">
        <v>11525</v>
      </c>
      <c r="H1044" s="609" t="s">
        <v>1055</v>
      </c>
      <c r="I1044" s="821">
        <f>+R906</f>
        <v>0.9432470865927236</v>
      </c>
      <c r="J1044" s="751"/>
      <c r="K1044" s="530">
        <f>+E1044*G1044*I1044</f>
        <v>11958.014940279256</v>
      </c>
      <c r="L1044" s="61" t="s">
        <v>50</v>
      </c>
      <c r="M1044" s="1067"/>
      <c r="N1044" s="420"/>
      <c r="O1044"/>
      <c r="P1044" s="412"/>
      <c r="Q1044" s="391"/>
      <c r="T1044" s="393"/>
    </row>
    <row r="1045" spans="1:20" ht="30" customHeight="1" x14ac:dyDescent="0.25">
      <c r="A1045" s="61" t="s">
        <v>849</v>
      </c>
      <c r="B1045" s="236" t="s">
        <v>1056</v>
      </c>
      <c r="C1045" s="237"/>
      <c r="D1045" s="238"/>
      <c r="E1045" s="781">
        <f>+P887</f>
        <v>10.805</v>
      </c>
      <c r="F1045" s="20" t="s">
        <v>9</v>
      </c>
      <c r="G1045" s="777">
        <f>481*6</f>
        <v>2886</v>
      </c>
      <c r="H1045" s="609" t="s">
        <v>1020</v>
      </c>
      <c r="I1045" s="751">
        <f>+R887</f>
        <v>1.04</v>
      </c>
      <c r="J1045" s="751">
        <f>+S887</f>
        <v>1.0490196078431373</v>
      </c>
      <c r="K1045" s="530">
        <f>+E1045*G1045*I1045*J1045</f>
        <v>34020.292494117646</v>
      </c>
      <c r="L1045" s="61" t="s">
        <v>50</v>
      </c>
      <c r="N1045" s="420"/>
      <c r="O1045"/>
      <c r="P1045" s="412"/>
      <c r="Q1045" s="391"/>
      <c r="T1045" s="393"/>
    </row>
    <row r="1046" spans="1:20" ht="30" customHeight="1" x14ac:dyDescent="0.25">
      <c r="A1046" s="61">
        <v>93410</v>
      </c>
      <c r="B1046" s="236" t="s">
        <v>1057</v>
      </c>
      <c r="C1046" s="237"/>
      <c r="D1046" s="238"/>
      <c r="E1046" s="781">
        <f>+P905</f>
        <v>8</v>
      </c>
      <c r="F1046" s="730" t="s">
        <v>307</v>
      </c>
      <c r="G1046" s="777">
        <v>4709</v>
      </c>
      <c r="H1046" s="609" t="s">
        <v>1022</v>
      </c>
      <c r="I1046" s="821">
        <f>+R905</f>
        <v>0.9432470865927236</v>
      </c>
      <c r="J1046" s="20"/>
      <c r="K1046" s="530">
        <f>+E1046*G1046*I1046</f>
        <v>35534.004246121083</v>
      </c>
      <c r="L1046" s="61" t="s">
        <v>50</v>
      </c>
      <c r="N1046" s="420"/>
      <c r="O1046"/>
      <c r="P1046" s="412"/>
      <c r="Q1046" s="391"/>
      <c r="T1046" s="393"/>
    </row>
    <row r="1047" spans="1:20" ht="30" customHeight="1" x14ac:dyDescent="0.25">
      <c r="A1047" s="61">
        <v>93210</v>
      </c>
      <c r="B1047" s="236" t="s">
        <v>1058</v>
      </c>
      <c r="C1047" s="237"/>
      <c r="D1047" s="238"/>
      <c r="E1047" s="781">
        <f>+P907</f>
        <v>44.901000000000003</v>
      </c>
      <c r="F1047" s="730" t="s">
        <v>307</v>
      </c>
      <c r="G1047" s="777">
        <v>1063</v>
      </c>
      <c r="H1047" s="609" t="s">
        <v>1022</v>
      </c>
      <c r="I1047" s="821">
        <f>+R907</f>
        <v>0.9432470865927236</v>
      </c>
      <c r="J1047" s="20"/>
      <c r="K1047" s="530">
        <f>+E1047*G1047*I1047</f>
        <v>45020.959893511179</v>
      </c>
      <c r="L1047" s="61" t="s">
        <v>50</v>
      </c>
      <c r="M1047" s="1067"/>
      <c r="N1047" s="420"/>
      <c r="O1047"/>
      <c r="P1047" s="412"/>
      <c r="Q1047" s="391"/>
      <c r="T1047" s="393"/>
    </row>
    <row r="1048" spans="1:20" ht="30" customHeight="1" x14ac:dyDescent="0.25">
      <c r="A1048" s="61"/>
      <c r="B1048" s="192"/>
      <c r="C1048" s="192"/>
      <c r="D1048" s="192"/>
      <c r="E1048" s="405"/>
      <c r="F1048" s="20"/>
      <c r="G1048" s="838"/>
      <c r="H1048" s="754"/>
      <c r="I1048" s="20"/>
      <c r="J1048" s="20" t="s">
        <v>646</v>
      </c>
      <c r="K1048" s="530">
        <f>SUM(K1036:K1047)</f>
        <v>2829265.7483014804</v>
      </c>
      <c r="L1048" s="61" t="s">
        <v>50</v>
      </c>
      <c r="M1048" s="1067"/>
      <c r="N1048" s="420"/>
      <c r="O1048"/>
      <c r="P1048" s="412"/>
      <c r="Q1048" s="391"/>
      <c r="T1048" s="393"/>
    </row>
    <row r="1049" spans="1:20" ht="30" customHeight="1" thickBot="1" x14ac:dyDescent="0.3">
      <c r="A1049" s="61"/>
      <c r="B1049" s="61"/>
      <c r="C1049" s="63"/>
      <c r="D1049" s="63"/>
      <c r="E1049" s="18"/>
      <c r="F1049" s="18"/>
      <c r="G1049" s="413" t="s">
        <v>537</v>
      </c>
      <c r="H1049" s="18"/>
      <c r="I1049" s="18"/>
      <c r="J1049" s="361">
        <f>VLOOKUP(B1033,'Mil Cost Premiums for RUCs'!$A$4:$R$265,18,FALSE)</f>
        <v>1.0485669999999998</v>
      </c>
      <c r="K1049" s="21">
        <f>+K1048*J1049</f>
        <v>2966674.6978992377</v>
      </c>
      <c r="L1049" s="61" t="s">
        <v>50</v>
      </c>
      <c r="M1049" s="1067"/>
      <c r="N1049" s="420"/>
      <c r="O1049"/>
      <c r="P1049" s="412"/>
      <c r="Q1049" s="391"/>
      <c r="T1049" s="393"/>
    </row>
    <row r="1050" spans="1:20" ht="30" customHeight="1" thickBot="1" x14ac:dyDescent="0.3">
      <c r="A1050" s="76"/>
      <c r="B1050" s="77"/>
      <c r="C1050" s="77"/>
      <c r="D1050" s="77"/>
      <c r="E1050" s="77"/>
      <c r="F1050" s="77"/>
      <c r="G1050" s="77"/>
      <c r="H1050" s="77"/>
      <c r="I1050" s="77"/>
      <c r="J1050" s="77"/>
      <c r="K1050" s="77"/>
      <c r="L1050" s="78"/>
      <c r="M1050" s="1067"/>
      <c r="N1050" s="420"/>
      <c r="O1050"/>
      <c r="P1050" s="412"/>
      <c r="Q1050" s="391"/>
      <c r="T1050" s="393"/>
    </row>
    <row r="1051" spans="1:20" ht="75" customHeight="1" x14ac:dyDescent="0.25">
      <c r="A1051" s="30" t="s">
        <v>288</v>
      </c>
      <c r="B1051" s="31">
        <v>1765</v>
      </c>
      <c r="C1051" s="209" t="s">
        <v>1059</v>
      </c>
      <c r="D1051" s="210"/>
      <c r="E1051" s="36" t="s">
        <v>291</v>
      </c>
      <c r="F1051" s="37" t="s">
        <v>11</v>
      </c>
      <c r="G1051" s="163" t="s">
        <v>290</v>
      </c>
      <c r="H1051" s="487">
        <v>1</v>
      </c>
      <c r="I1051" s="36" t="s">
        <v>292</v>
      </c>
      <c r="J1051" s="38" t="s">
        <v>3385</v>
      </c>
      <c r="K1051" s="38"/>
      <c r="L1051" s="389"/>
      <c r="M1051" s="419"/>
      <c r="N1051" s="420"/>
      <c r="O1051"/>
      <c r="P1051" s="412"/>
      <c r="Q1051" s="391"/>
      <c r="T1051" s="393"/>
    </row>
    <row r="1052" spans="1:20" s="49" customFormat="1" ht="30" customHeight="1" x14ac:dyDescent="0.25">
      <c r="A1052" s="44" t="s">
        <v>913</v>
      </c>
      <c r="B1052" s="490" t="s">
        <v>560</v>
      </c>
      <c r="C1052" s="491"/>
      <c r="D1052" s="492"/>
      <c r="E1052" s="793" t="s">
        <v>519</v>
      </c>
      <c r="F1052" s="793" t="s">
        <v>561</v>
      </c>
      <c r="G1052" s="626" t="s">
        <v>562</v>
      </c>
      <c r="H1052" s="627"/>
      <c r="I1052" s="181" t="s">
        <v>530</v>
      </c>
      <c r="J1052" s="44" t="s">
        <v>533</v>
      </c>
      <c r="K1052" s="507" t="s">
        <v>521</v>
      </c>
      <c r="L1052" s="508"/>
      <c r="M1052" s="1897"/>
      <c r="N1052" s="420"/>
      <c r="P1052" s="412"/>
      <c r="Q1052" s="391"/>
      <c r="T1052" s="393"/>
    </row>
    <row r="1053" spans="1:20" ht="30" customHeight="1" x14ac:dyDescent="0.25">
      <c r="A1053" s="44"/>
      <c r="B1053" s="716" t="s">
        <v>1060</v>
      </c>
      <c r="C1053" s="717"/>
      <c r="D1053" s="718"/>
      <c r="E1053" s="793"/>
      <c r="F1053" s="793"/>
      <c r="G1053" s="835"/>
      <c r="H1053" s="836"/>
      <c r="I1053" s="855"/>
      <c r="J1053" s="855"/>
      <c r="K1053" s="793"/>
      <c r="L1053" s="793"/>
      <c r="M1053" s="860"/>
      <c r="N1053" s="420"/>
      <c r="O1053"/>
      <c r="P1053" s="412"/>
      <c r="Q1053" s="391"/>
      <c r="T1053" s="393"/>
    </row>
    <row r="1054" spans="1:20" ht="30" customHeight="1" x14ac:dyDescent="0.25">
      <c r="A1054" s="61" t="s">
        <v>849</v>
      </c>
      <c r="B1054" s="236" t="s">
        <v>1061</v>
      </c>
      <c r="C1054" s="237"/>
      <c r="D1054" s="238"/>
      <c r="E1054" s="781">
        <f>+P887</f>
        <v>10.805</v>
      </c>
      <c r="F1054" s="20" t="s">
        <v>9</v>
      </c>
      <c r="G1054" s="777">
        <f>6*468</f>
        <v>2808</v>
      </c>
      <c r="H1054" s="609" t="s">
        <v>1062</v>
      </c>
      <c r="I1054" s="751">
        <f>+R887</f>
        <v>1.04</v>
      </c>
      <c r="J1054" s="751">
        <f>+S887</f>
        <v>1.0490196078431373</v>
      </c>
      <c r="K1054" s="405">
        <f>+E1054*G1054*I1054*J1054</f>
        <v>33100.825129411765</v>
      </c>
      <c r="L1054" s="61" t="s">
        <v>11</v>
      </c>
      <c r="M1054" s="860"/>
      <c r="N1054" s="420"/>
      <c r="O1054"/>
      <c r="P1054" s="412"/>
      <c r="Q1054" s="391"/>
      <c r="T1054" s="393"/>
    </row>
    <row r="1055" spans="1:20" ht="30" customHeight="1" x14ac:dyDescent="0.25">
      <c r="A1055" s="61" t="s">
        <v>916</v>
      </c>
      <c r="B1055" s="236" t="s">
        <v>953</v>
      </c>
      <c r="C1055" s="237"/>
      <c r="D1055" s="238"/>
      <c r="E1055" s="781">
        <f>+P891</f>
        <v>800</v>
      </c>
      <c r="F1055" s="730" t="s">
        <v>11</v>
      </c>
      <c r="G1055" s="777">
        <v>6</v>
      </c>
      <c r="H1055" s="609" t="s">
        <v>1063</v>
      </c>
      <c r="I1055" s="751">
        <f>+R891</f>
        <v>1.02</v>
      </c>
      <c r="J1055" s="751">
        <f>+S891</f>
        <v>1.0490196078431373</v>
      </c>
      <c r="K1055" s="405">
        <f>+E1055*G1055*I1055*J1055</f>
        <v>5136</v>
      </c>
      <c r="L1055" s="61" t="s">
        <v>11</v>
      </c>
      <c r="M1055" s="856"/>
      <c r="N1055" s="420"/>
      <c r="O1055"/>
      <c r="P1055" s="412"/>
      <c r="Q1055" s="391"/>
      <c r="T1055" s="393"/>
    </row>
    <row r="1056" spans="1:20" ht="30" customHeight="1" x14ac:dyDescent="0.25">
      <c r="A1056" s="61" t="s">
        <v>916</v>
      </c>
      <c r="B1056" s="236" t="s">
        <v>1004</v>
      </c>
      <c r="C1056" s="237"/>
      <c r="D1056" s="238"/>
      <c r="E1056" s="781">
        <f>+P894</f>
        <v>985</v>
      </c>
      <c r="F1056" s="730" t="s">
        <v>11</v>
      </c>
      <c r="G1056" s="777">
        <v>6</v>
      </c>
      <c r="H1056" s="609" t="s">
        <v>1063</v>
      </c>
      <c r="I1056" s="751">
        <f t="shared" ref="I1056:J1058" si="11">+R894</f>
        <v>1.02</v>
      </c>
      <c r="J1056" s="751">
        <f t="shared" si="11"/>
        <v>1.0490196078431373</v>
      </c>
      <c r="K1056" s="405">
        <f>+E1056*G1056*I1056*J1056</f>
        <v>6323.7</v>
      </c>
      <c r="L1056" s="61" t="s">
        <v>11</v>
      </c>
      <c r="M1056" s="1067"/>
      <c r="N1056" s="420"/>
      <c r="O1056"/>
      <c r="P1056" s="412"/>
      <c r="Q1056" s="391"/>
      <c r="T1056" s="393"/>
    </row>
    <row r="1057" spans="1:20" ht="30" customHeight="1" x14ac:dyDescent="0.25">
      <c r="A1057" s="61" t="s">
        <v>920</v>
      </c>
      <c r="B1057" s="192" t="s">
        <v>1064</v>
      </c>
      <c r="C1057" s="192"/>
      <c r="D1057" s="192"/>
      <c r="E1057" s="781">
        <f>+P895</f>
        <v>137.85</v>
      </c>
      <c r="F1057" s="644" t="s">
        <v>11</v>
      </c>
      <c r="G1057" s="777">
        <f>18*5</f>
        <v>90</v>
      </c>
      <c r="H1057" s="634" t="s">
        <v>1063</v>
      </c>
      <c r="I1057" s="751">
        <f t="shared" si="11"/>
        <v>1.02</v>
      </c>
      <c r="J1057" s="751">
        <f t="shared" si="11"/>
        <v>1.0490196078431373</v>
      </c>
      <c r="K1057" s="530">
        <f>+E1057*G1057*I1057*J1057</f>
        <v>13274.955000000002</v>
      </c>
      <c r="L1057" s="61" t="s">
        <v>11</v>
      </c>
      <c r="M1057" s="1940"/>
      <c r="N1057" s="1966"/>
      <c r="O1057"/>
      <c r="P1057" s="412"/>
      <c r="Q1057" s="391"/>
      <c r="T1057" s="393"/>
    </row>
    <row r="1058" spans="1:20" ht="30" customHeight="1" x14ac:dyDescent="0.25">
      <c r="A1058" s="61" t="s">
        <v>922</v>
      </c>
      <c r="B1058" s="236" t="s">
        <v>1065</v>
      </c>
      <c r="C1058" s="237"/>
      <c r="D1058" s="238"/>
      <c r="E1058" s="781">
        <f>+P896</f>
        <v>17.110000000000003</v>
      </c>
      <c r="F1058" s="644" t="s">
        <v>7</v>
      </c>
      <c r="G1058" s="777">
        <f>2560*18</f>
        <v>46080</v>
      </c>
      <c r="H1058" s="634" t="s">
        <v>1066</v>
      </c>
      <c r="I1058" s="751">
        <f t="shared" si="11"/>
        <v>1.02</v>
      </c>
      <c r="J1058" s="751">
        <f t="shared" si="11"/>
        <v>1.0490196078431373</v>
      </c>
      <c r="K1058" s="530">
        <f>+E1058*G1058*I1058*J1058</f>
        <v>843618.81600000022</v>
      </c>
      <c r="L1058" s="61" t="s">
        <v>11</v>
      </c>
      <c r="M1058" s="1067"/>
      <c r="N1058" s="420"/>
      <c r="O1058"/>
      <c r="P1058" s="412"/>
      <c r="Q1058" s="391"/>
      <c r="T1058" s="393"/>
    </row>
    <row r="1059" spans="1:20" ht="30" customHeight="1" x14ac:dyDescent="0.25">
      <c r="A1059" s="61">
        <v>93410</v>
      </c>
      <c r="B1059" s="236" t="s">
        <v>1054</v>
      </c>
      <c r="C1059" s="237"/>
      <c r="D1059" s="238"/>
      <c r="E1059" s="594">
        <f>+P906</f>
        <v>1.1000000000000001</v>
      </c>
      <c r="F1059" s="644" t="s">
        <v>3</v>
      </c>
      <c r="G1059" s="777">
        <v>11525</v>
      </c>
      <c r="H1059" s="634" t="s">
        <v>1067</v>
      </c>
      <c r="I1059" s="821">
        <f>+R906</f>
        <v>0.9432470865927236</v>
      </c>
      <c r="J1059" s="751"/>
      <c r="K1059" s="530">
        <f>+E1059*G1059*I1059</f>
        <v>11958.014940279256</v>
      </c>
      <c r="L1059" s="61" t="s">
        <v>11</v>
      </c>
      <c r="M1059" s="873"/>
      <c r="N1059" s="420"/>
      <c r="O1059"/>
      <c r="P1059" s="412"/>
      <c r="Q1059" s="391"/>
      <c r="T1059" s="393"/>
    </row>
    <row r="1060" spans="1:20" ht="30" customHeight="1" x14ac:dyDescent="0.25">
      <c r="A1060" s="61" t="s">
        <v>849</v>
      </c>
      <c r="B1060" s="236" t="s">
        <v>1068</v>
      </c>
      <c r="C1060" s="237"/>
      <c r="D1060" s="238"/>
      <c r="E1060" s="781">
        <f>+P887</f>
        <v>10.805</v>
      </c>
      <c r="F1060" s="61" t="s">
        <v>9</v>
      </c>
      <c r="G1060" s="777">
        <f>481*6</f>
        <v>2886</v>
      </c>
      <c r="H1060" s="634" t="s">
        <v>1062</v>
      </c>
      <c r="I1060" s="751">
        <f>+R887</f>
        <v>1.04</v>
      </c>
      <c r="J1060" s="751">
        <f>+S887</f>
        <v>1.0490196078431373</v>
      </c>
      <c r="K1060" s="530">
        <f>+E1060*G1060*I1060*J1060</f>
        <v>34020.292494117646</v>
      </c>
      <c r="L1060" s="61" t="s">
        <v>11</v>
      </c>
      <c r="M1060" s="1067"/>
      <c r="N1060" s="420"/>
      <c r="O1060"/>
      <c r="P1060" s="412"/>
      <c r="Q1060" s="391"/>
      <c r="T1060" s="393"/>
    </row>
    <row r="1061" spans="1:20" ht="30" customHeight="1" x14ac:dyDescent="0.25">
      <c r="A1061" s="61">
        <v>93410</v>
      </c>
      <c r="B1061" s="236" t="s">
        <v>1069</v>
      </c>
      <c r="C1061" s="237"/>
      <c r="D1061" s="238"/>
      <c r="E1061" s="781">
        <f>+P905</f>
        <v>8</v>
      </c>
      <c r="F1061" s="644" t="s">
        <v>307</v>
      </c>
      <c r="G1061" s="777">
        <v>279</v>
      </c>
      <c r="H1061" s="634" t="s">
        <v>1070</v>
      </c>
      <c r="I1061" s="821">
        <f>+R905</f>
        <v>0.9432470865927236</v>
      </c>
      <c r="J1061" s="20"/>
      <c r="K1061" s="530">
        <f>+E1061*G1061*I1061</f>
        <v>2105.3274972749591</v>
      </c>
      <c r="L1061" s="61" t="s">
        <v>11</v>
      </c>
      <c r="M1061" s="1067"/>
      <c r="N1061" s="420"/>
      <c r="O1061"/>
      <c r="P1061" s="412"/>
      <c r="Q1061" s="391"/>
      <c r="T1061" s="393"/>
    </row>
    <row r="1062" spans="1:20" ht="30" customHeight="1" x14ac:dyDescent="0.25">
      <c r="A1062" s="61">
        <v>93210</v>
      </c>
      <c r="B1062" s="236" t="s">
        <v>1071</v>
      </c>
      <c r="C1062" s="237"/>
      <c r="D1062" s="238"/>
      <c r="E1062" s="781">
        <f>+P907</f>
        <v>44.901000000000003</v>
      </c>
      <c r="F1062" s="644" t="s">
        <v>307</v>
      </c>
      <c r="G1062" s="777">
        <v>215</v>
      </c>
      <c r="H1062" s="634" t="s">
        <v>1070</v>
      </c>
      <c r="I1062" s="821">
        <f>+R907</f>
        <v>0.9432470865927236</v>
      </c>
      <c r="J1062" s="20"/>
      <c r="K1062" s="530">
        <f>+E1062*G1062*I1062</f>
        <v>9105.8385485464751</v>
      </c>
      <c r="L1062" s="61" t="s">
        <v>11</v>
      </c>
      <c r="M1062" s="1067"/>
      <c r="N1062" s="420"/>
      <c r="O1062"/>
      <c r="P1062" s="412"/>
      <c r="Q1062" s="391"/>
      <c r="T1062" s="393"/>
    </row>
    <row r="1063" spans="1:20" ht="30" customHeight="1" x14ac:dyDescent="0.25">
      <c r="A1063" s="61"/>
      <c r="B1063" s="192"/>
      <c r="C1063" s="192"/>
      <c r="D1063" s="192"/>
      <c r="E1063" s="530"/>
      <c r="F1063" s="61"/>
      <c r="G1063" s="817"/>
      <c r="H1063" s="646"/>
      <c r="I1063" s="20"/>
      <c r="J1063" s="20" t="s">
        <v>646</v>
      </c>
      <c r="K1063" s="530">
        <f>SUM(K1054:K1062)</f>
        <v>958643.76960963034</v>
      </c>
      <c r="L1063" s="61" t="s">
        <v>11</v>
      </c>
      <c r="N1063" s="420"/>
      <c r="O1063"/>
      <c r="P1063" s="412"/>
      <c r="Q1063" s="391"/>
      <c r="T1063" s="393"/>
    </row>
    <row r="1064" spans="1:20" ht="30" customHeight="1" thickBot="1" x14ac:dyDescent="0.3">
      <c r="A1064" s="61"/>
      <c r="B1064" s="61"/>
      <c r="C1064" s="63"/>
      <c r="D1064" s="63"/>
      <c r="E1064" s="63"/>
      <c r="F1064" s="63"/>
      <c r="G1064" s="445" t="s">
        <v>537</v>
      </c>
      <c r="H1064" s="63"/>
      <c r="I1064" s="18"/>
      <c r="J1064" s="361">
        <f>VLOOKUP(B1051,'Mil Cost Premiums for RUCs'!$A$4:$R$265,18,FALSE)</f>
        <v>1.0485669999999998</v>
      </c>
      <c r="K1064" s="21">
        <f>+K1063*J1064</f>
        <v>1005202.221568261</v>
      </c>
      <c r="L1064" s="61" t="s">
        <v>11</v>
      </c>
      <c r="N1064" s="420"/>
      <c r="O1064"/>
      <c r="P1064" s="412"/>
      <c r="Q1064" s="391"/>
      <c r="T1064" s="393"/>
    </row>
    <row r="1065" spans="1:20" ht="30" customHeight="1" thickBot="1" x14ac:dyDescent="0.3">
      <c r="A1065" s="76"/>
      <c r="B1065" s="77"/>
      <c r="C1065" s="77"/>
      <c r="D1065" s="77"/>
      <c r="E1065" s="77"/>
      <c r="F1065" s="77"/>
      <c r="G1065" s="77"/>
      <c r="H1065" s="77"/>
      <c r="I1065" s="77"/>
      <c r="J1065" s="77"/>
      <c r="K1065" s="77"/>
      <c r="L1065" s="78"/>
      <c r="M1065" s="1067"/>
      <c r="N1065" s="420"/>
      <c r="O1065"/>
      <c r="P1065" s="412"/>
      <c r="Q1065" s="391"/>
      <c r="T1065" s="393"/>
    </row>
    <row r="1066" spans="1:20" ht="75" customHeight="1" x14ac:dyDescent="0.25">
      <c r="A1066" s="30" t="s">
        <v>288</v>
      </c>
      <c r="B1066" s="31">
        <v>1766</v>
      </c>
      <c r="C1066" s="209" t="s">
        <v>1072</v>
      </c>
      <c r="D1066" s="210"/>
      <c r="E1066" s="36" t="s">
        <v>291</v>
      </c>
      <c r="F1066" s="37" t="s">
        <v>11</v>
      </c>
      <c r="G1066" s="163" t="s">
        <v>1073</v>
      </c>
      <c r="H1066" s="487">
        <v>1</v>
      </c>
      <c r="I1066" s="36" t="s">
        <v>292</v>
      </c>
      <c r="J1066" s="38" t="s">
        <v>3385</v>
      </c>
      <c r="K1066" s="38"/>
      <c r="L1066" s="389"/>
      <c r="M1066" s="1067"/>
      <c r="N1066" s="420"/>
      <c r="O1066"/>
      <c r="P1066" s="412"/>
      <c r="Q1066" s="391"/>
      <c r="T1066" s="393"/>
    </row>
    <row r="1067" spans="1:20" ht="30" customHeight="1" x14ac:dyDescent="0.25">
      <c r="A1067" s="44" t="s">
        <v>913</v>
      </c>
      <c r="B1067" s="490" t="s">
        <v>560</v>
      </c>
      <c r="C1067" s="491"/>
      <c r="D1067" s="492"/>
      <c r="E1067" s="793" t="s">
        <v>519</v>
      </c>
      <c r="F1067" s="793" t="s">
        <v>561</v>
      </c>
      <c r="G1067" s="626" t="s">
        <v>562</v>
      </c>
      <c r="H1067" s="627"/>
      <c r="I1067" s="181" t="s">
        <v>530</v>
      </c>
      <c r="J1067" s="675" t="s">
        <v>533</v>
      </c>
      <c r="K1067" s="507" t="s">
        <v>521</v>
      </c>
      <c r="L1067" s="508"/>
      <c r="M1067" s="1067"/>
      <c r="N1067" s="420"/>
      <c r="O1067"/>
      <c r="P1067" s="412"/>
      <c r="Q1067" s="391"/>
      <c r="T1067" s="393"/>
    </row>
    <row r="1068" spans="1:20" ht="30" customHeight="1" x14ac:dyDescent="0.25">
      <c r="A1068" s="44"/>
      <c r="B1068" s="716" t="s">
        <v>1074</v>
      </c>
      <c r="C1068" s="717"/>
      <c r="D1068" s="718"/>
      <c r="E1068" s="793"/>
      <c r="F1068" s="793"/>
      <c r="G1068" s="835"/>
      <c r="H1068" s="836"/>
      <c r="I1068" s="211"/>
      <c r="J1068" s="211"/>
      <c r="K1068" s="793"/>
      <c r="L1068" s="793"/>
      <c r="M1068" s="1067"/>
      <c r="N1068" s="420"/>
      <c r="O1068"/>
      <c r="P1068" s="412"/>
      <c r="Q1068" s="391"/>
      <c r="T1068" s="393"/>
    </row>
    <row r="1069" spans="1:20" ht="30" customHeight="1" x14ac:dyDescent="0.25">
      <c r="A1069" s="61" t="s">
        <v>849</v>
      </c>
      <c r="B1069" s="236" t="s">
        <v>1075</v>
      </c>
      <c r="C1069" s="237"/>
      <c r="D1069" s="238"/>
      <c r="E1069" s="781">
        <f>+P886</f>
        <v>8.8450000000000006</v>
      </c>
      <c r="F1069" s="20" t="s">
        <v>9</v>
      </c>
      <c r="G1069" s="777">
        <f>42*62</f>
        <v>2604</v>
      </c>
      <c r="H1069" s="609" t="s">
        <v>1062</v>
      </c>
      <c r="I1069" s="751">
        <f>+R886</f>
        <v>1.04</v>
      </c>
      <c r="J1069" s="751">
        <f>+S886</f>
        <v>1.0490196078431373</v>
      </c>
      <c r="K1069" s="530">
        <f t="shared" ref="K1069:K1080" si="12">+E1069*G1069*I1069*J1069</f>
        <v>25127.874964705887</v>
      </c>
      <c r="L1069" s="61" t="s">
        <v>11</v>
      </c>
      <c r="M1069" s="419"/>
      <c r="N1069" s="420"/>
      <c r="O1069"/>
      <c r="P1069" s="412"/>
      <c r="Q1069" s="391"/>
      <c r="T1069" s="393"/>
    </row>
    <row r="1070" spans="1:20" s="49" customFormat="1" ht="30" customHeight="1" x14ac:dyDescent="0.25">
      <c r="A1070" s="61" t="s">
        <v>916</v>
      </c>
      <c r="B1070" s="236" t="s">
        <v>917</v>
      </c>
      <c r="C1070" s="237"/>
      <c r="D1070" s="238"/>
      <c r="E1070" s="781">
        <f>+P890</f>
        <v>439.5</v>
      </c>
      <c r="F1070" s="730" t="s">
        <v>11</v>
      </c>
      <c r="G1070" s="777">
        <v>42</v>
      </c>
      <c r="H1070" s="609" t="s">
        <v>1063</v>
      </c>
      <c r="I1070" s="751">
        <f>+R890</f>
        <v>1.02</v>
      </c>
      <c r="J1070" s="751">
        <f>+S890</f>
        <v>1.0490196078431373</v>
      </c>
      <c r="K1070" s="530">
        <f t="shared" si="12"/>
        <v>19751.13</v>
      </c>
      <c r="L1070" s="61" t="s">
        <v>11</v>
      </c>
      <c r="M1070" s="1897"/>
      <c r="N1070" s="420"/>
      <c r="P1070" s="412"/>
      <c r="Q1070" s="391"/>
      <c r="T1070" s="393"/>
    </row>
    <row r="1071" spans="1:20" ht="30" customHeight="1" x14ac:dyDescent="0.25">
      <c r="A1071" s="61" t="s">
        <v>916</v>
      </c>
      <c r="B1071" s="192" t="s">
        <v>919</v>
      </c>
      <c r="C1071" s="192"/>
      <c r="D1071" s="192"/>
      <c r="E1071" s="781">
        <f>+P892</f>
        <v>316</v>
      </c>
      <c r="F1071" s="730" t="s">
        <v>11</v>
      </c>
      <c r="G1071" s="777">
        <v>42</v>
      </c>
      <c r="H1071" s="609" t="s">
        <v>1063</v>
      </c>
      <c r="I1071" s="751">
        <f>+R892</f>
        <v>1.02</v>
      </c>
      <c r="J1071" s="751">
        <f>+S892</f>
        <v>1.0490196078431373</v>
      </c>
      <c r="K1071" s="530">
        <f t="shared" si="12"/>
        <v>14201.04</v>
      </c>
      <c r="L1071" s="61" t="s">
        <v>11</v>
      </c>
      <c r="M1071" s="1067"/>
      <c r="N1071" s="420"/>
      <c r="O1071"/>
      <c r="P1071" s="412"/>
      <c r="Q1071" s="391"/>
      <c r="T1071" s="393"/>
    </row>
    <row r="1072" spans="1:20" ht="30" customHeight="1" x14ac:dyDescent="0.25">
      <c r="A1072" s="61" t="s">
        <v>849</v>
      </c>
      <c r="B1072" s="192" t="s">
        <v>1076</v>
      </c>
      <c r="C1072" s="192"/>
      <c r="D1072" s="192"/>
      <c r="E1072" s="781">
        <f>+P887</f>
        <v>10.805</v>
      </c>
      <c r="F1072" s="20" t="s">
        <v>9</v>
      </c>
      <c r="G1072" s="777">
        <f>25*468</f>
        <v>11700</v>
      </c>
      <c r="H1072" s="609" t="s">
        <v>1062</v>
      </c>
      <c r="I1072" s="751">
        <f>+R887</f>
        <v>1.04</v>
      </c>
      <c r="J1072" s="751">
        <f>+S887</f>
        <v>1.0490196078431373</v>
      </c>
      <c r="K1072" s="530">
        <f t="shared" si="12"/>
        <v>137920.10470588235</v>
      </c>
      <c r="L1072" s="61" t="s">
        <v>11</v>
      </c>
      <c r="M1072" s="1067"/>
      <c r="N1072" s="420"/>
      <c r="O1072"/>
      <c r="P1072" s="412"/>
      <c r="Q1072" s="391"/>
      <c r="T1072" s="393"/>
    </row>
    <row r="1073" spans="1:20" ht="30" customHeight="1" x14ac:dyDescent="0.25">
      <c r="A1073" s="61" t="s">
        <v>780</v>
      </c>
      <c r="B1073" s="192" t="s">
        <v>1077</v>
      </c>
      <c r="C1073" s="192"/>
      <c r="D1073" s="192"/>
      <c r="E1073" s="781">
        <f>+P888</f>
        <v>17.95</v>
      </c>
      <c r="F1073" s="20" t="s">
        <v>9</v>
      </c>
      <c r="G1073" s="777">
        <f>2152*4</f>
        <v>8608</v>
      </c>
      <c r="H1073" s="609" t="s">
        <v>1062</v>
      </c>
      <c r="I1073" s="751">
        <f>+R888</f>
        <v>1.04</v>
      </c>
      <c r="J1073" s="751">
        <f>+S888</f>
        <v>1.0490196078431373</v>
      </c>
      <c r="K1073" s="530">
        <f t="shared" si="12"/>
        <v>168571.30792156863</v>
      </c>
      <c r="L1073" s="61" t="s">
        <v>11</v>
      </c>
      <c r="M1073" s="1067"/>
      <c r="N1073" s="420"/>
      <c r="O1073"/>
      <c r="P1073" s="412"/>
      <c r="Q1073" s="391"/>
      <c r="T1073" s="393"/>
    </row>
    <row r="1074" spans="1:20" ht="30" customHeight="1" x14ac:dyDescent="0.25">
      <c r="A1074" s="61" t="s">
        <v>780</v>
      </c>
      <c r="B1074" s="192" t="s">
        <v>1078</v>
      </c>
      <c r="C1074" s="192"/>
      <c r="D1074" s="192"/>
      <c r="E1074" s="781">
        <f>+P888</f>
        <v>17.95</v>
      </c>
      <c r="F1074" s="20" t="s">
        <v>9</v>
      </c>
      <c r="G1074" s="777">
        <f>80.7*7</f>
        <v>564.9</v>
      </c>
      <c r="H1074" s="609" t="s">
        <v>1062</v>
      </c>
      <c r="I1074" s="751">
        <f>+R888</f>
        <v>1.04</v>
      </c>
      <c r="J1074" s="751">
        <f>+S888</f>
        <v>1.0490196078431373</v>
      </c>
      <c r="K1074" s="530">
        <f t="shared" si="12"/>
        <v>11062.492082352943</v>
      </c>
      <c r="L1074" s="61" t="s">
        <v>11</v>
      </c>
      <c r="M1074" s="1067"/>
      <c r="N1074" s="420"/>
      <c r="O1074"/>
      <c r="P1074" s="412"/>
      <c r="Q1074" s="391"/>
      <c r="T1074" s="393"/>
    </row>
    <row r="1075" spans="1:20" ht="30" customHeight="1" x14ac:dyDescent="0.25">
      <c r="A1075" s="61" t="s">
        <v>916</v>
      </c>
      <c r="B1075" s="192" t="s">
        <v>953</v>
      </c>
      <c r="C1075" s="192"/>
      <c r="D1075" s="192"/>
      <c r="E1075" s="781">
        <f>+P891</f>
        <v>800</v>
      </c>
      <c r="F1075" s="730" t="s">
        <v>11</v>
      </c>
      <c r="G1075" s="777">
        <v>36</v>
      </c>
      <c r="H1075" s="609" t="s">
        <v>1063</v>
      </c>
      <c r="I1075" s="751">
        <f>+R891</f>
        <v>1.02</v>
      </c>
      <c r="J1075" s="751">
        <f>+S891</f>
        <v>1.0490196078431373</v>
      </c>
      <c r="K1075" s="530">
        <f t="shared" si="12"/>
        <v>30816</v>
      </c>
      <c r="L1075" s="61" t="s">
        <v>11</v>
      </c>
      <c r="O1075"/>
      <c r="P1075" s="412"/>
      <c r="Q1075" s="391"/>
      <c r="T1075" s="393"/>
    </row>
    <row r="1076" spans="1:20" ht="30" customHeight="1" x14ac:dyDescent="0.25">
      <c r="A1076" s="61" t="s">
        <v>760</v>
      </c>
      <c r="B1076" s="192" t="s">
        <v>1079</v>
      </c>
      <c r="C1076" s="192"/>
      <c r="D1076" s="192"/>
      <c r="E1076" s="781">
        <f>+P898</f>
        <v>17.125</v>
      </c>
      <c r="F1076" s="730" t="s">
        <v>7</v>
      </c>
      <c r="G1076" s="777">
        <v>2967</v>
      </c>
      <c r="H1076" s="609" t="s">
        <v>1066</v>
      </c>
      <c r="I1076" s="751">
        <f>+R898</f>
        <v>1.02</v>
      </c>
      <c r="J1076" s="751">
        <f>+S898</f>
        <v>1.0490196078431373</v>
      </c>
      <c r="K1076" s="530">
        <f t="shared" si="12"/>
        <v>54366.566250000003</v>
      </c>
      <c r="L1076" s="61" t="s">
        <v>11</v>
      </c>
      <c r="M1076" s="1067"/>
      <c r="N1076" s="420"/>
      <c r="O1076"/>
      <c r="P1076" s="412"/>
      <c r="Q1076" s="391"/>
      <c r="T1076" s="393"/>
    </row>
    <row r="1077" spans="1:20" ht="30" customHeight="1" x14ac:dyDescent="0.25">
      <c r="A1077" s="61" t="s">
        <v>760</v>
      </c>
      <c r="B1077" s="191" t="s">
        <v>1080</v>
      </c>
      <c r="C1077" s="191"/>
      <c r="D1077" s="191"/>
      <c r="E1077" s="781">
        <f>+P899</f>
        <v>2617.5</v>
      </c>
      <c r="F1077" s="644" t="s">
        <v>11</v>
      </c>
      <c r="G1077" s="777">
        <v>11</v>
      </c>
      <c r="H1077" s="634" t="s">
        <v>1063</v>
      </c>
      <c r="I1077" s="751">
        <f>+R899</f>
        <v>1.02</v>
      </c>
      <c r="J1077" s="751">
        <f>+S899</f>
        <v>1.0490196078431373</v>
      </c>
      <c r="K1077" s="530">
        <f t="shared" si="12"/>
        <v>30807.975000000002</v>
      </c>
      <c r="L1077" s="61" t="s">
        <v>11</v>
      </c>
      <c r="M1077" s="857"/>
      <c r="N1077" s="858"/>
      <c r="O1077"/>
      <c r="P1077" s="412"/>
      <c r="Q1077" s="391"/>
      <c r="T1077" s="393"/>
    </row>
    <row r="1078" spans="1:20" ht="30" customHeight="1" x14ac:dyDescent="0.25">
      <c r="A1078" s="61" t="s">
        <v>916</v>
      </c>
      <c r="B1078" s="192" t="s">
        <v>1004</v>
      </c>
      <c r="C1078" s="192"/>
      <c r="D1078" s="192"/>
      <c r="E1078" s="781">
        <f>+P894</f>
        <v>985</v>
      </c>
      <c r="F1078" s="644" t="s">
        <v>11</v>
      </c>
      <c r="G1078" s="777">
        <v>36</v>
      </c>
      <c r="H1078" s="634" t="s">
        <v>1063</v>
      </c>
      <c r="I1078" s="751">
        <f t="shared" ref="I1078:J1080" si="13">+R894</f>
        <v>1.02</v>
      </c>
      <c r="J1078" s="751">
        <f t="shared" si="13"/>
        <v>1.0490196078431373</v>
      </c>
      <c r="K1078" s="530">
        <f t="shared" si="12"/>
        <v>37942.199999999997</v>
      </c>
      <c r="L1078" s="61" t="s">
        <v>11</v>
      </c>
      <c r="M1078" s="857"/>
      <c r="N1078" s="858"/>
      <c r="O1078"/>
      <c r="P1078" s="412"/>
      <c r="Q1078" s="391"/>
      <c r="T1078" s="393"/>
    </row>
    <row r="1079" spans="1:20" ht="30" customHeight="1" x14ac:dyDescent="0.25">
      <c r="A1079" s="61" t="s">
        <v>920</v>
      </c>
      <c r="B1079" s="192" t="s">
        <v>1081</v>
      </c>
      <c r="C1079" s="192"/>
      <c r="D1079" s="192"/>
      <c r="E1079" s="781">
        <f>+P895</f>
        <v>137.85</v>
      </c>
      <c r="F1079" s="644" t="s">
        <v>11</v>
      </c>
      <c r="G1079" s="861">
        <f>(5*25)+(4*53)</f>
        <v>337</v>
      </c>
      <c r="H1079" s="634" t="s">
        <v>1063</v>
      </c>
      <c r="I1079" s="751">
        <f t="shared" si="13"/>
        <v>1.02</v>
      </c>
      <c r="J1079" s="751">
        <f t="shared" si="13"/>
        <v>1.0490196078431373</v>
      </c>
      <c r="K1079" s="530">
        <f t="shared" si="12"/>
        <v>49707.3315</v>
      </c>
      <c r="L1079" s="61" t="s">
        <v>11</v>
      </c>
      <c r="M1079" s="1067"/>
      <c r="N1079" s="420"/>
      <c r="O1079"/>
      <c r="P1079" s="412"/>
      <c r="Q1079" s="391"/>
      <c r="T1079" s="393"/>
    </row>
    <row r="1080" spans="1:20" ht="30" customHeight="1" x14ac:dyDescent="0.25">
      <c r="A1080" s="61" t="s">
        <v>922</v>
      </c>
      <c r="B1080" s="236" t="s">
        <v>1082</v>
      </c>
      <c r="C1080" s="237"/>
      <c r="D1080" s="238"/>
      <c r="E1080" s="781">
        <f>+P896</f>
        <v>17.110000000000003</v>
      </c>
      <c r="F1080" s="644" t="s">
        <v>7</v>
      </c>
      <c r="G1080" s="777">
        <f>5105*78</f>
        <v>398190</v>
      </c>
      <c r="H1080" s="634" t="s">
        <v>1066</v>
      </c>
      <c r="I1080" s="751">
        <f t="shared" si="13"/>
        <v>1.02</v>
      </c>
      <c r="J1080" s="751">
        <f t="shared" si="13"/>
        <v>1.0490196078431373</v>
      </c>
      <c r="K1080" s="530">
        <f t="shared" si="12"/>
        <v>7289943.063000001</v>
      </c>
      <c r="L1080" s="61" t="s">
        <v>11</v>
      </c>
      <c r="M1080" s="1067"/>
      <c r="N1080" s="420"/>
      <c r="O1080"/>
      <c r="P1080" s="412"/>
      <c r="Q1080" s="391"/>
      <c r="T1080" s="393"/>
    </row>
    <row r="1081" spans="1:20" ht="30" customHeight="1" x14ac:dyDescent="0.25">
      <c r="A1081" s="61">
        <v>93410</v>
      </c>
      <c r="B1081" s="236" t="s">
        <v>1083</v>
      </c>
      <c r="C1081" s="237"/>
      <c r="D1081" s="238"/>
      <c r="E1081" s="594">
        <f>+P906</f>
        <v>1.1000000000000001</v>
      </c>
      <c r="F1081" s="644" t="s">
        <v>3</v>
      </c>
      <c r="G1081" s="777">
        <v>2488</v>
      </c>
      <c r="H1081" s="634" t="s">
        <v>1067</v>
      </c>
      <c r="I1081" s="818">
        <f>+R906</f>
        <v>0.9432470865927236</v>
      </c>
      <c r="J1081" s="20"/>
      <c r="K1081" s="530">
        <f>+E1081*G1081*I1081</f>
        <v>2581.4786265869661</v>
      </c>
      <c r="L1081" s="61" t="s">
        <v>11</v>
      </c>
      <c r="M1081" s="1067"/>
      <c r="N1081" s="420"/>
      <c r="O1081"/>
      <c r="P1081" s="412"/>
      <c r="Q1081" s="391"/>
      <c r="T1081" s="393"/>
    </row>
    <row r="1082" spans="1:20" ht="30" customHeight="1" x14ac:dyDescent="0.25">
      <c r="A1082" s="61" t="s">
        <v>849</v>
      </c>
      <c r="B1082" s="236" t="s">
        <v>1084</v>
      </c>
      <c r="C1082" s="237"/>
      <c r="D1082" s="238"/>
      <c r="E1082" s="781">
        <f>+P887</f>
        <v>10.805</v>
      </c>
      <c r="F1082" s="61" t="s">
        <v>9</v>
      </c>
      <c r="G1082" s="777">
        <f>481*2</f>
        <v>962</v>
      </c>
      <c r="H1082" s="634" t="s">
        <v>1062</v>
      </c>
      <c r="I1082" s="20">
        <f>+R887</f>
        <v>1.04</v>
      </c>
      <c r="J1082" s="751">
        <f>+S887</f>
        <v>1.0490196078431373</v>
      </c>
      <c r="K1082" s="530">
        <f>+E1082*G1082*I1082*J1082</f>
        <v>11340.097498039217</v>
      </c>
      <c r="L1082" s="61" t="s">
        <v>11</v>
      </c>
      <c r="M1082" s="1067"/>
      <c r="N1082" s="420"/>
      <c r="O1082"/>
      <c r="P1082" s="412"/>
      <c r="Q1082" s="391"/>
      <c r="T1082" s="393"/>
    </row>
    <row r="1083" spans="1:20" ht="30" customHeight="1" x14ac:dyDescent="0.25">
      <c r="A1083" s="61" t="s">
        <v>849</v>
      </c>
      <c r="B1083" s="236" t="s">
        <v>1085</v>
      </c>
      <c r="C1083" s="237"/>
      <c r="D1083" s="238"/>
      <c r="E1083" s="781">
        <f>+P886</f>
        <v>8.8450000000000006</v>
      </c>
      <c r="F1083" s="61" t="s">
        <v>9</v>
      </c>
      <c r="G1083" s="777">
        <f>128*10</f>
        <v>1280</v>
      </c>
      <c r="H1083" s="634" t="s">
        <v>1062</v>
      </c>
      <c r="I1083" s="20">
        <f>+R886</f>
        <v>1.04</v>
      </c>
      <c r="J1083" s="751">
        <f>+S886</f>
        <v>1.0490196078431373</v>
      </c>
      <c r="K1083" s="530">
        <f>+E1083*G1083*I1083*J1083</f>
        <v>12351.643607843138</v>
      </c>
      <c r="L1083" s="61" t="s">
        <v>11</v>
      </c>
      <c r="M1083" s="1067"/>
      <c r="N1083" s="420"/>
      <c r="O1083"/>
      <c r="P1083" s="412"/>
      <c r="Q1083" s="391"/>
      <c r="T1083" s="393"/>
    </row>
    <row r="1084" spans="1:20" ht="30" customHeight="1" x14ac:dyDescent="0.25">
      <c r="A1084" s="61">
        <v>93410</v>
      </c>
      <c r="B1084" s="236" t="s">
        <v>1086</v>
      </c>
      <c r="C1084" s="237"/>
      <c r="D1084" s="238"/>
      <c r="E1084" s="781">
        <f>+P905</f>
        <v>8</v>
      </c>
      <c r="F1084" s="644" t="s">
        <v>307</v>
      </c>
      <c r="G1084" s="777">
        <v>3662</v>
      </c>
      <c r="H1084" s="634" t="s">
        <v>1070</v>
      </c>
      <c r="I1084" s="818">
        <f>+R905</f>
        <v>0.9432470865927236</v>
      </c>
      <c r="J1084" s="20"/>
      <c r="K1084" s="530">
        <f>+E1084*G1084*I1084</f>
        <v>27633.366648820429</v>
      </c>
      <c r="L1084" s="61" t="s">
        <v>11</v>
      </c>
      <c r="M1084" s="1853"/>
      <c r="N1084" s="420"/>
      <c r="O1084"/>
      <c r="P1084" s="412"/>
      <c r="Q1084" s="391"/>
      <c r="T1084" s="393"/>
    </row>
    <row r="1085" spans="1:20" s="49" customFormat="1" ht="30" customHeight="1" x14ac:dyDescent="0.25">
      <c r="A1085" s="61">
        <v>93210</v>
      </c>
      <c r="B1085" s="236" t="s">
        <v>1087</v>
      </c>
      <c r="C1085" s="237"/>
      <c r="D1085" s="238"/>
      <c r="E1085" s="781">
        <f>+P907</f>
        <v>44.901000000000003</v>
      </c>
      <c r="F1085" s="644" t="s">
        <v>307</v>
      </c>
      <c r="G1085" s="777">
        <v>1063</v>
      </c>
      <c r="H1085" s="634" t="s">
        <v>1070</v>
      </c>
      <c r="I1085" s="818">
        <f>+R907</f>
        <v>0.9432470865927236</v>
      </c>
      <c r="J1085" s="20"/>
      <c r="K1085" s="530">
        <f>+E1085*G1085*I1085</f>
        <v>45020.959893511179</v>
      </c>
      <c r="L1085" s="61" t="s">
        <v>11</v>
      </c>
      <c r="M1085" s="1897"/>
      <c r="N1085" s="420"/>
      <c r="P1085" s="412"/>
      <c r="Q1085" s="391"/>
      <c r="T1085" s="393"/>
    </row>
    <row r="1086" spans="1:20" ht="30" customHeight="1" x14ac:dyDescent="0.25">
      <c r="A1086" s="61"/>
      <c r="B1086" s="192"/>
      <c r="C1086" s="192"/>
      <c r="D1086" s="192"/>
      <c r="E1086" s="530"/>
      <c r="F1086" s="61"/>
      <c r="G1086" s="817"/>
      <c r="H1086" s="646"/>
      <c r="I1086" s="20"/>
      <c r="J1086" s="20" t="s">
        <v>646</v>
      </c>
      <c r="K1086" s="530">
        <f>SUM(K1072:K1085)</f>
        <v>7910064.586734606</v>
      </c>
      <c r="L1086" s="61" t="s">
        <v>11</v>
      </c>
      <c r="M1086" s="1067"/>
      <c r="N1086" s="420"/>
      <c r="O1086"/>
      <c r="P1086" s="412"/>
      <c r="Q1086" s="391"/>
      <c r="T1086" s="393"/>
    </row>
    <row r="1087" spans="1:20" ht="30" customHeight="1" thickBot="1" x14ac:dyDescent="0.3">
      <c r="A1087" s="61"/>
      <c r="B1087" s="61"/>
      <c r="C1087" s="63"/>
      <c r="D1087" s="63"/>
      <c r="E1087" s="63"/>
      <c r="F1087" s="63"/>
      <c r="G1087" s="445" t="s">
        <v>537</v>
      </c>
      <c r="H1087" s="63"/>
      <c r="I1087" s="18"/>
      <c r="J1087" s="361">
        <f>VLOOKUP(B1066,'Mil Cost Premiums for RUCs'!$A$4:$R$265,18,FALSE)</f>
        <v>1.0485669999999998</v>
      </c>
      <c r="K1087" s="21">
        <f>+K1086*J1087</f>
        <v>8294232.6935185436</v>
      </c>
      <c r="L1087" s="61" t="s">
        <v>11</v>
      </c>
      <c r="M1087" s="1067"/>
      <c r="N1087" s="420"/>
      <c r="O1087"/>
      <c r="P1087" s="412"/>
      <c r="Q1087" s="391"/>
      <c r="T1087" s="393"/>
    </row>
    <row r="1088" spans="1:20" ht="30" customHeight="1" thickBot="1" x14ac:dyDescent="0.3">
      <c r="A1088" s="76"/>
      <c r="B1088" s="77"/>
      <c r="C1088" s="77"/>
      <c r="D1088" s="77"/>
      <c r="E1088" s="77"/>
      <c r="F1088" s="77"/>
      <c r="G1088" s="77"/>
      <c r="H1088" s="77"/>
      <c r="I1088" s="77"/>
      <c r="J1088" s="77"/>
      <c r="K1088" s="77"/>
      <c r="L1088" s="78"/>
      <c r="M1088" s="1067"/>
      <c r="N1088" s="420"/>
      <c r="O1088"/>
      <c r="P1088" s="412"/>
      <c r="Q1088" s="391"/>
      <c r="T1088" s="393"/>
    </row>
    <row r="1089" spans="1:20" ht="60" customHeight="1" x14ac:dyDescent="0.25">
      <c r="A1089" s="30" t="s">
        <v>288</v>
      </c>
      <c r="B1089" s="31">
        <v>1768</v>
      </c>
      <c r="C1089" s="209" t="s">
        <v>1088</v>
      </c>
      <c r="D1089" s="210"/>
      <c r="E1089" s="36" t="s">
        <v>291</v>
      </c>
      <c r="F1089" s="37" t="s">
        <v>11</v>
      </c>
      <c r="G1089" s="163" t="s">
        <v>290</v>
      </c>
      <c r="H1089" s="487">
        <v>1</v>
      </c>
      <c r="I1089" s="36" t="s">
        <v>292</v>
      </c>
      <c r="J1089" s="38" t="s">
        <v>3378</v>
      </c>
      <c r="K1089" s="38"/>
      <c r="L1089" s="389"/>
      <c r="M1089" s="1067"/>
      <c r="N1089" s="420"/>
      <c r="O1089"/>
      <c r="P1089" s="412"/>
      <c r="Q1089" s="391"/>
      <c r="T1089" s="393"/>
    </row>
    <row r="1090" spans="1:20" ht="30" customHeight="1" x14ac:dyDescent="0.25">
      <c r="A1090" s="44" t="s">
        <v>517</v>
      </c>
      <c r="B1090" s="490" t="s">
        <v>560</v>
      </c>
      <c r="C1090" s="491"/>
      <c r="D1090" s="492"/>
      <c r="E1090" s="397" t="s">
        <v>519</v>
      </c>
      <c r="F1090" s="397" t="s">
        <v>561</v>
      </c>
      <c r="G1090" s="398" t="s">
        <v>562</v>
      </c>
      <c r="H1090" s="399"/>
      <c r="I1090" s="181" t="s">
        <v>530</v>
      </c>
      <c r="J1090" s="400" t="s">
        <v>533</v>
      </c>
      <c r="K1090" s="507" t="s">
        <v>521</v>
      </c>
      <c r="L1090" s="508"/>
      <c r="M1090" s="1067"/>
      <c r="N1090" s="420"/>
      <c r="O1090"/>
      <c r="P1090" s="412"/>
      <c r="Q1090" s="391"/>
      <c r="T1090" s="393"/>
    </row>
    <row r="1091" spans="1:20" ht="30" customHeight="1" x14ac:dyDescent="0.25">
      <c r="A1091" s="44"/>
      <c r="B1091" s="236" t="s">
        <v>1089</v>
      </c>
      <c r="C1091" s="237"/>
      <c r="D1091" s="238"/>
      <c r="E1091" s="397"/>
      <c r="F1091" s="397"/>
      <c r="G1091" s="774"/>
      <c r="H1091" s="775"/>
      <c r="I1091" s="599"/>
      <c r="J1091" s="599"/>
      <c r="K1091" s="793"/>
      <c r="L1091" s="793"/>
      <c r="M1091" s="1067"/>
      <c r="N1091" s="420"/>
      <c r="O1091"/>
      <c r="P1091" s="412"/>
      <c r="Q1091" s="391"/>
      <c r="T1091" s="393"/>
    </row>
    <row r="1092" spans="1:20" ht="30" customHeight="1" x14ac:dyDescent="0.25">
      <c r="A1092" s="61">
        <v>93410</v>
      </c>
      <c r="B1092" s="236" t="s">
        <v>1069</v>
      </c>
      <c r="C1092" s="237"/>
      <c r="D1092" s="238"/>
      <c r="E1092" s="781">
        <f>+P905</f>
        <v>8</v>
      </c>
      <c r="F1092" s="730" t="s">
        <v>307</v>
      </c>
      <c r="G1092" s="837">
        <v>279</v>
      </c>
      <c r="H1092" s="609" t="s">
        <v>1070</v>
      </c>
      <c r="I1092" s="821">
        <f>+R905</f>
        <v>0.9432470865927236</v>
      </c>
      <c r="J1092" s="20"/>
      <c r="K1092" s="530">
        <f>+E1092*G1092*I1092</f>
        <v>2105.3274972749591</v>
      </c>
      <c r="L1092" s="61" t="s">
        <v>11</v>
      </c>
      <c r="M1092" s="1067"/>
      <c r="N1092" s="420"/>
      <c r="O1092"/>
      <c r="P1092" s="412"/>
      <c r="Q1092" s="391"/>
      <c r="T1092" s="393"/>
    </row>
    <row r="1093" spans="1:20" ht="30" customHeight="1" x14ac:dyDescent="0.25">
      <c r="A1093" s="61">
        <v>93210</v>
      </c>
      <c r="B1093" s="236" t="s">
        <v>1071</v>
      </c>
      <c r="C1093" s="237"/>
      <c r="D1093" s="238"/>
      <c r="E1093" s="781">
        <f>+P907</f>
        <v>44.901000000000003</v>
      </c>
      <c r="F1093" s="730" t="s">
        <v>307</v>
      </c>
      <c r="G1093" s="837">
        <v>215</v>
      </c>
      <c r="H1093" s="609" t="s">
        <v>1070</v>
      </c>
      <c r="I1093" s="821">
        <f>+R907</f>
        <v>0.9432470865927236</v>
      </c>
      <c r="J1093" s="20"/>
      <c r="K1093" s="530">
        <f>+E1093*G1093*I1093</f>
        <v>9105.8385485464751</v>
      </c>
      <c r="L1093" s="61" t="s">
        <v>11</v>
      </c>
      <c r="M1093" s="1067"/>
      <c r="N1093" s="420"/>
      <c r="O1093"/>
      <c r="P1093" s="412"/>
      <c r="Q1093" s="391"/>
      <c r="T1093" s="393"/>
    </row>
    <row r="1094" spans="1:20" ht="30" customHeight="1" x14ac:dyDescent="0.25">
      <c r="A1094" s="61"/>
      <c r="B1094" s="192"/>
      <c r="C1094" s="192"/>
      <c r="D1094" s="192"/>
      <c r="E1094" s="405"/>
      <c r="F1094" s="20"/>
      <c r="G1094" s="838"/>
      <c r="H1094" s="754"/>
      <c r="I1094" s="20"/>
      <c r="J1094" s="20" t="s">
        <v>646</v>
      </c>
      <c r="K1094" s="530">
        <f>SUM(K1092:K1093)</f>
        <v>11211.166045821434</v>
      </c>
      <c r="L1094" s="61" t="s">
        <v>11</v>
      </c>
      <c r="M1094" s="1067"/>
      <c r="N1094" s="420"/>
      <c r="O1094"/>
      <c r="P1094" s="412"/>
      <c r="Q1094" s="391"/>
      <c r="T1094" s="393"/>
    </row>
    <row r="1095" spans="1:20" ht="30" customHeight="1" thickBot="1" x14ac:dyDescent="0.3">
      <c r="A1095" s="61"/>
      <c r="B1095" s="61"/>
      <c r="C1095" s="63"/>
      <c r="D1095" s="63"/>
      <c r="E1095" s="18"/>
      <c r="F1095" s="18"/>
      <c r="G1095" s="413" t="s">
        <v>537</v>
      </c>
      <c r="H1095" s="18"/>
      <c r="I1095" s="18"/>
      <c r="J1095" s="361">
        <f>VLOOKUP(B1089,'Mil Cost Premiums for RUCs'!$A$4:$R$265,18,FALSE)</f>
        <v>1.0485669999999998</v>
      </c>
      <c r="K1095" s="21">
        <f>+K1094*J1095</f>
        <v>11755.658747168842</v>
      </c>
      <c r="L1095" s="61" t="s">
        <v>11</v>
      </c>
      <c r="N1095" s="420"/>
      <c r="O1095"/>
      <c r="P1095" s="412"/>
      <c r="Q1095" s="391"/>
      <c r="T1095" s="393"/>
    </row>
    <row r="1096" spans="1:20" ht="30" customHeight="1" thickBot="1" x14ac:dyDescent="0.3">
      <c r="A1096" s="76"/>
      <c r="B1096" s="77"/>
      <c r="C1096" s="77"/>
      <c r="D1096" s="77"/>
      <c r="E1096" s="77"/>
      <c r="F1096" s="77"/>
      <c r="G1096" s="77"/>
      <c r="H1096" s="77"/>
      <c r="I1096" s="77"/>
      <c r="J1096" s="77"/>
      <c r="K1096" s="77"/>
      <c r="L1096" s="78"/>
      <c r="N1096" s="420"/>
      <c r="O1096"/>
      <c r="P1096" s="412"/>
      <c r="Q1096" s="391"/>
      <c r="T1096" s="393"/>
    </row>
    <row r="1097" spans="1:20" ht="75" customHeight="1" x14ac:dyDescent="0.25">
      <c r="A1097" s="30" t="s">
        <v>288</v>
      </c>
      <c r="B1097" s="31">
        <v>1769</v>
      </c>
      <c r="C1097" s="209" t="s">
        <v>1090</v>
      </c>
      <c r="D1097" s="210"/>
      <c r="E1097" s="36" t="s">
        <v>291</v>
      </c>
      <c r="F1097" s="37" t="s">
        <v>11</v>
      </c>
      <c r="G1097" s="465" t="s">
        <v>1091</v>
      </c>
      <c r="H1097" s="487">
        <v>1</v>
      </c>
      <c r="I1097" s="36" t="s">
        <v>292</v>
      </c>
      <c r="J1097" s="38" t="s">
        <v>3385</v>
      </c>
      <c r="K1097" s="38"/>
      <c r="L1097" s="389"/>
      <c r="M1097" s="862"/>
      <c r="N1097" s="420"/>
      <c r="O1097"/>
      <c r="P1097" s="412"/>
      <c r="Q1097" s="391"/>
      <c r="T1097" s="393"/>
    </row>
    <row r="1098" spans="1:20" ht="30" customHeight="1" x14ac:dyDescent="0.25">
      <c r="A1098" s="44" t="s">
        <v>913</v>
      </c>
      <c r="B1098" s="490" t="s">
        <v>560</v>
      </c>
      <c r="C1098" s="491"/>
      <c r="D1098" s="492"/>
      <c r="E1098" s="793" t="s">
        <v>519</v>
      </c>
      <c r="F1098" s="793" t="s">
        <v>561</v>
      </c>
      <c r="G1098" s="626" t="s">
        <v>562</v>
      </c>
      <c r="H1098" s="627"/>
      <c r="I1098" s="181" t="s">
        <v>530</v>
      </c>
      <c r="J1098" s="675" t="s">
        <v>533</v>
      </c>
      <c r="K1098" s="507" t="s">
        <v>521</v>
      </c>
      <c r="L1098" s="508"/>
      <c r="M1098" s="1067"/>
      <c r="N1098" s="420"/>
      <c r="O1098"/>
      <c r="P1098" s="412"/>
      <c r="Q1098" s="391"/>
      <c r="T1098" s="393"/>
    </row>
    <row r="1099" spans="1:20" ht="30" customHeight="1" x14ac:dyDescent="0.25">
      <c r="A1099" s="44"/>
      <c r="B1099" s="716" t="s">
        <v>1092</v>
      </c>
      <c r="C1099" s="717"/>
      <c r="D1099" s="718"/>
      <c r="E1099" s="793"/>
      <c r="F1099" s="793"/>
      <c r="G1099" s="835"/>
      <c r="H1099" s="836"/>
      <c r="I1099" s="211"/>
      <c r="J1099" s="211"/>
      <c r="K1099" s="793"/>
      <c r="L1099" s="793"/>
      <c r="M1099" s="1067"/>
      <c r="N1099" s="420"/>
      <c r="O1099"/>
      <c r="P1099" s="412"/>
      <c r="Q1099" s="391"/>
      <c r="T1099" s="393"/>
    </row>
    <row r="1100" spans="1:20" ht="30" customHeight="1" x14ac:dyDescent="0.25">
      <c r="A1100" s="61" t="s">
        <v>849</v>
      </c>
      <c r="B1100" s="236" t="s">
        <v>1093</v>
      </c>
      <c r="C1100" s="237"/>
      <c r="D1100" s="238"/>
      <c r="E1100" s="781">
        <f>+P886</f>
        <v>8.8450000000000006</v>
      </c>
      <c r="F1100" s="20" t="s">
        <v>9</v>
      </c>
      <c r="G1100" s="794">
        <f>16*62</f>
        <v>992</v>
      </c>
      <c r="H1100" s="609" t="s">
        <v>1062</v>
      </c>
      <c r="I1100" s="751">
        <f>+R886</f>
        <v>1.04</v>
      </c>
      <c r="J1100" s="751">
        <f>+S886</f>
        <v>1.0490196078431373</v>
      </c>
      <c r="K1100" s="530">
        <f t="shared" ref="K1100:K1109" si="14">+E1100*G1100*I1100*J1100</f>
        <v>9572.5237960784325</v>
      </c>
      <c r="L1100" s="61" t="s">
        <v>11</v>
      </c>
      <c r="M1100" s="1067"/>
      <c r="N1100" s="420"/>
      <c r="O1100"/>
      <c r="P1100" s="412"/>
      <c r="Q1100" s="391"/>
      <c r="T1100" s="393"/>
    </row>
    <row r="1101" spans="1:20" ht="30" customHeight="1" x14ac:dyDescent="0.25">
      <c r="A1101" s="61" t="s">
        <v>916</v>
      </c>
      <c r="B1101" s="192" t="s">
        <v>917</v>
      </c>
      <c r="C1101" s="192"/>
      <c r="D1101" s="192"/>
      <c r="E1101" s="781">
        <f>+P890</f>
        <v>439.5</v>
      </c>
      <c r="F1101" s="730" t="s">
        <v>11</v>
      </c>
      <c r="G1101" s="794">
        <v>16</v>
      </c>
      <c r="H1101" s="609" t="s">
        <v>1063</v>
      </c>
      <c r="I1101" s="751">
        <f>+R890</f>
        <v>1.02</v>
      </c>
      <c r="J1101" s="751">
        <f>+S890</f>
        <v>1.0490196078431373</v>
      </c>
      <c r="K1101" s="530">
        <f t="shared" si="14"/>
        <v>7524.2400000000007</v>
      </c>
      <c r="L1101" s="61" t="s">
        <v>11</v>
      </c>
      <c r="M1101" s="1067"/>
      <c r="N1101" s="420"/>
      <c r="O1101"/>
      <c r="P1101" s="412"/>
      <c r="Q1101" s="391"/>
      <c r="T1101" s="393"/>
    </row>
    <row r="1102" spans="1:20" ht="30" customHeight="1" x14ac:dyDescent="0.25">
      <c r="A1102" s="61" t="s">
        <v>916</v>
      </c>
      <c r="B1102" s="192" t="s">
        <v>919</v>
      </c>
      <c r="C1102" s="192"/>
      <c r="D1102" s="192"/>
      <c r="E1102" s="781">
        <f>+P892</f>
        <v>316</v>
      </c>
      <c r="F1102" s="730" t="s">
        <v>11</v>
      </c>
      <c r="G1102" s="794">
        <v>16</v>
      </c>
      <c r="H1102" s="609" t="s">
        <v>1063</v>
      </c>
      <c r="I1102" s="751">
        <f>+R892</f>
        <v>1.02</v>
      </c>
      <c r="J1102" s="751">
        <f>+S892</f>
        <v>1.0490196078431373</v>
      </c>
      <c r="K1102" s="530">
        <f t="shared" si="14"/>
        <v>5409.92</v>
      </c>
      <c r="L1102" s="61" t="s">
        <v>11</v>
      </c>
      <c r="N1102" s="420"/>
      <c r="O1102"/>
      <c r="P1102" s="412"/>
      <c r="Q1102" s="391"/>
      <c r="T1102" s="393"/>
    </row>
    <row r="1103" spans="1:20" ht="30" customHeight="1" x14ac:dyDescent="0.25">
      <c r="A1103" s="61" t="s">
        <v>780</v>
      </c>
      <c r="B1103" s="192" t="s">
        <v>1094</v>
      </c>
      <c r="C1103" s="192"/>
      <c r="D1103" s="192"/>
      <c r="E1103" s="781">
        <f>+P888</f>
        <v>17.95</v>
      </c>
      <c r="F1103" s="20" t="s">
        <v>9</v>
      </c>
      <c r="G1103" s="794">
        <f>80.7*8</f>
        <v>645.6</v>
      </c>
      <c r="H1103" s="609" t="s">
        <v>1062</v>
      </c>
      <c r="I1103" s="751">
        <f>+R888</f>
        <v>1.04</v>
      </c>
      <c r="J1103" s="751">
        <f>+S888</f>
        <v>1.0490196078431373</v>
      </c>
      <c r="K1103" s="530">
        <f t="shared" si="14"/>
        <v>12642.848094117649</v>
      </c>
      <c r="L1103" s="61" t="s">
        <v>11</v>
      </c>
      <c r="M1103" s="1067"/>
      <c r="N1103" s="420"/>
      <c r="O1103"/>
      <c r="P1103" s="412"/>
      <c r="Q1103" s="391"/>
      <c r="T1103" s="393"/>
    </row>
    <row r="1104" spans="1:20" ht="30" customHeight="1" x14ac:dyDescent="0.25">
      <c r="A1104" s="61" t="s">
        <v>916</v>
      </c>
      <c r="B1104" s="192" t="s">
        <v>953</v>
      </c>
      <c r="C1104" s="192"/>
      <c r="D1104" s="192"/>
      <c r="E1104" s="781">
        <f>+P891</f>
        <v>800</v>
      </c>
      <c r="F1104" s="730" t="s">
        <v>11</v>
      </c>
      <c r="G1104" s="794">
        <v>8</v>
      </c>
      <c r="H1104" s="609" t="s">
        <v>1063</v>
      </c>
      <c r="I1104" s="751">
        <f>+R891</f>
        <v>1.02</v>
      </c>
      <c r="J1104" s="751">
        <f>+S891</f>
        <v>1.0490196078431373</v>
      </c>
      <c r="K1104" s="530">
        <f t="shared" si="14"/>
        <v>6848</v>
      </c>
      <c r="L1104" s="61" t="s">
        <v>11</v>
      </c>
      <c r="M1104" s="1067"/>
      <c r="N1104" s="420"/>
      <c r="O1104"/>
      <c r="P1104" s="412"/>
      <c r="Q1104" s="391"/>
      <c r="T1104" s="393"/>
    </row>
    <row r="1105" spans="1:20" ht="30" customHeight="1" x14ac:dyDescent="0.25">
      <c r="A1105" s="61" t="s">
        <v>760</v>
      </c>
      <c r="B1105" s="192" t="s">
        <v>1095</v>
      </c>
      <c r="C1105" s="192"/>
      <c r="D1105" s="192"/>
      <c r="E1105" s="781">
        <f>+P898</f>
        <v>17.125</v>
      </c>
      <c r="F1105" s="730" t="s">
        <v>7</v>
      </c>
      <c r="G1105" s="794">
        <f>49*8</f>
        <v>392</v>
      </c>
      <c r="H1105" s="609" t="s">
        <v>1066</v>
      </c>
      <c r="I1105" s="751">
        <f>+R898</f>
        <v>1.02</v>
      </c>
      <c r="J1105" s="751">
        <f>+S898</f>
        <v>1.0490196078431373</v>
      </c>
      <c r="K1105" s="530">
        <f t="shared" si="14"/>
        <v>7182.9100000000008</v>
      </c>
      <c r="L1105" s="61" t="s">
        <v>11</v>
      </c>
      <c r="M1105" s="1067"/>
      <c r="N1105" s="420"/>
      <c r="O1105"/>
      <c r="P1105" s="412"/>
      <c r="Q1105" s="391"/>
      <c r="T1105" s="393"/>
    </row>
    <row r="1106" spans="1:20" ht="30" customHeight="1" x14ac:dyDescent="0.25">
      <c r="A1106" s="61" t="s">
        <v>760</v>
      </c>
      <c r="B1106" s="191" t="s">
        <v>959</v>
      </c>
      <c r="C1106" s="191"/>
      <c r="D1106" s="191"/>
      <c r="E1106" s="781">
        <f>+P899</f>
        <v>2617.5</v>
      </c>
      <c r="F1106" s="730" t="s">
        <v>11</v>
      </c>
      <c r="G1106" s="794">
        <v>8</v>
      </c>
      <c r="H1106" s="609" t="s">
        <v>1063</v>
      </c>
      <c r="I1106" s="751">
        <f>+R899</f>
        <v>1.02</v>
      </c>
      <c r="J1106" s="751">
        <f>+S899</f>
        <v>1.0490196078431373</v>
      </c>
      <c r="K1106" s="530">
        <f t="shared" si="14"/>
        <v>22405.8</v>
      </c>
      <c r="L1106" s="61" t="s">
        <v>11</v>
      </c>
      <c r="M1106" s="857"/>
      <c r="N1106" s="858"/>
      <c r="O1106"/>
      <c r="P1106" s="412"/>
      <c r="Q1106" s="391"/>
      <c r="T1106" s="393"/>
    </row>
    <row r="1107" spans="1:20" ht="30" customHeight="1" x14ac:dyDescent="0.25">
      <c r="A1107" s="61" t="s">
        <v>916</v>
      </c>
      <c r="B1107" s="192" t="s">
        <v>1004</v>
      </c>
      <c r="C1107" s="192"/>
      <c r="D1107" s="192"/>
      <c r="E1107" s="781">
        <f>+P894</f>
        <v>985</v>
      </c>
      <c r="F1107" s="730" t="s">
        <v>11</v>
      </c>
      <c r="G1107" s="794">
        <v>8</v>
      </c>
      <c r="H1107" s="609" t="s">
        <v>1063</v>
      </c>
      <c r="I1107" s="751">
        <f t="shared" ref="I1107:J1109" si="15">+R894</f>
        <v>1.02</v>
      </c>
      <c r="J1107" s="751">
        <f t="shared" si="15"/>
        <v>1.0490196078431373</v>
      </c>
      <c r="K1107" s="530">
        <f t="shared" si="14"/>
        <v>8431.6</v>
      </c>
      <c r="L1107" s="61" t="s">
        <v>11</v>
      </c>
      <c r="M1107" s="857"/>
      <c r="N1107" s="858"/>
      <c r="O1107"/>
      <c r="P1107" s="412"/>
      <c r="Q1107" s="391"/>
      <c r="T1107" s="393"/>
    </row>
    <row r="1108" spans="1:20" s="49" customFormat="1" ht="30" customHeight="1" x14ac:dyDescent="0.25">
      <c r="A1108" s="61" t="s">
        <v>920</v>
      </c>
      <c r="B1108" s="192" t="s">
        <v>987</v>
      </c>
      <c r="C1108" s="192"/>
      <c r="D1108" s="192"/>
      <c r="E1108" s="781">
        <f>+P895</f>
        <v>137.85</v>
      </c>
      <c r="F1108" s="730" t="s">
        <v>11</v>
      </c>
      <c r="G1108" s="794">
        <v>96</v>
      </c>
      <c r="H1108" s="609" t="s">
        <v>1063</v>
      </c>
      <c r="I1108" s="751">
        <f t="shared" si="15"/>
        <v>1.02</v>
      </c>
      <c r="J1108" s="751">
        <f t="shared" si="15"/>
        <v>1.0490196078431373</v>
      </c>
      <c r="K1108" s="530">
        <f t="shared" si="14"/>
        <v>14159.951999999999</v>
      </c>
      <c r="L1108" s="61" t="s">
        <v>11</v>
      </c>
      <c r="M1108" s="1897"/>
      <c r="N1108" s="420"/>
      <c r="P1108" s="412"/>
      <c r="Q1108" s="391"/>
      <c r="T1108" s="393"/>
    </row>
    <row r="1109" spans="1:20" ht="30" customHeight="1" x14ac:dyDescent="0.25">
      <c r="A1109" s="61" t="s">
        <v>922</v>
      </c>
      <c r="B1109" s="192" t="s">
        <v>1096</v>
      </c>
      <c r="C1109" s="192"/>
      <c r="D1109" s="192"/>
      <c r="E1109" s="781">
        <f>+P896</f>
        <v>17.110000000000003</v>
      </c>
      <c r="F1109" s="644" t="s">
        <v>7</v>
      </c>
      <c r="G1109" s="777">
        <f>356*12</f>
        <v>4272</v>
      </c>
      <c r="H1109" s="634" t="s">
        <v>1066</v>
      </c>
      <c r="I1109" s="751">
        <f t="shared" si="15"/>
        <v>1.02</v>
      </c>
      <c r="J1109" s="751">
        <f t="shared" si="15"/>
        <v>1.0490196078431373</v>
      </c>
      <c r="K1109" s="530">
        <f t="shared" si="14"/>
        <v>78210.494400000025</v>
      </c>
      <c r="L1109" s="61" t="s">
        <v>11</v>
      </c>
      <c r="M1109" s="860"/>
      <c r="N1109" s="420"/>
      <c r="O1109"/>
      <c r="P1109" s="412"/>
      <c r="Q1109" s="391"/>
      <c r="T1109" s="393"/>
    </row>
    <row r="1110" spans="1:20" ht="30" customHeight="1" x14ac:dyDescent="0.25">
      <c r="A1110" s="61">
        <v>93410</v>
      </c>
      <c r="B1110" s="192" t="s">
        <v>1097</v>
      </c>
      <c r="C1110" s="192"/>
      <c r="D1110" s="192"/>
      <c r="E1110" s="594">
        <f>+P906</f>
        <v>1.1000000000000001</v>
      </c>
      <c r="F1110" s="644" t="s">
        <v>3</v>
      </c>
      <c r="G1110" s="777">
        <v>478</v>
      </c>
      <c r="H1110" s="634" t="s">
        <v>1067</v>
      </c>
      <c r="I1110" s="821">
        <f>+R906</f>
        <v>0.9432470865927236</v>
      </c>
      <c r="J1110" s="751"/>
      <c r="K1110" s="530">
        <f>+E1110*G1110*I1110</f>
        <v>495.95931813045411</v>
      </c>
      <c r="L1110" s="61" t="s">
        <v>11</v>
      </c>
      <c r="M1110" s="1067"/>
      <c r="N1110" s="420"/>
      <c r="O1110"/>
      <c r="P1110" s="412"/>
      <c r="Q1110" s="391"/>
      <c r="T1110" s="393"/>
    </row>
    <row r="1111" spans="1:20" ht="30" customHeight="1" x14ac:dyDescent="0.25">
      <c r="A1111" s="61" t="s">
        <v>849</v>
      </c>
      <c r="B1111" s="192" t="s">
        <v>1098</v>
      </c>
      <c r="C1111" s="192"/>
      <c r="D1111" s="192"/>
      <c r="E1111" s="781">
        <f>+P887</f>
        <v>10.805</v>
      </c>
      <c r="F1111" s="61" t="s">
        <v>9</v>
      </c>
      <c r="G1111" s="777">
        <f>481*2</f>
        <v>962</v>
      </c>
      <c r="H1111" s="634" t="s">
        <v>1062</v>
      </c>
      <c r="I1111" s="751">
        <f>+R887</f>
        <v>1.04</v>
      </c>
      <c r="J1111" s="751">
        <f>+S887</f>
        <v>1.0490196078431373</v>
      </c>
      <c r="K1111" s="530">
        <f>+E1111*G1111*I1111*J1111</f>
        <v>11340.097498039217</v>
      </c>
      <c r="L1111" s="61" t="s">
        <v>11</v>
      </c>
      <c r="M1111" s="1067"/>
      <c r="N1111" s="420"/>
      <c r="O1111"/>
      <c r="P1111" s="412"/>
      <c r="Q1111" s="391"/>
      <c r="T1111" s="393"/>
    </row>
    <row r="1112" spans="1:20" ht="30" customHeight="1" x14ac:dyDescent="0.25">
      <c r="A1112" s="61" t="s">
        <v>849</v>
      </c>
      <c r="B1112" s="192" t="s">
        <v>1099</v>
      </c>
      <c r="C1112" s="192"/>
      <c r="D1112" s="192"/>
      <c r="E1112" s="781">
        <f>+P886</f>
        <v>8.8450000000000006</v>
      </c>
      <c r="F1112" s="61" t="s">
        <v>9</v>
      </c>
      <c r="G1112" s="777">
        <f>128*2</f>
        <v>256</v>
      </c>
      <c r="H1112" s="634" t="s">
        <v>1062</v>
      </c>
      <c r="I1112" s="751">
        <f>+R886</f>
        <v>1.04</v>
      </c>
      <c r="J1112" s="751">
        <f>+S886</f>
        <v>1.0490196078431373</v>
      </c>
      <c r="K1112" s="530">
        <f>+E1112*G1112*I1112*J1112</f>
        <v>2470.3287215686278</v>
      </c>
      <c r="L1112" s="61" t="s">
        <v>11</v>
      </c>
      <c r="M1112" s="1067"/>
      <c r="N1112" s="420"/>
      <c r="O1112"/>
      <c r="P1112" s="412"/>
      <c r="Q1112" s="391"/>
      <c r="T1112" s="393"/>
    </row>
    <row r="1113" spans="1:20" ht="30" customHeight="1" x14ac:dyDescent="0.25">
      <c r="A1113" s="61">
        <v>93410</v>
      </c>
      <c r="B1113" s="236" t="s">
        <v>1100</v>
      </c>
      <c r="C1113" s="237"/>
      <c r="D1113" s="238"/>
      <c r="E1113" s="781">
        <f>+P905</f>
        <v>8</v>
      </c>
      <c r="F1113" s="644" t="s">
        <v>307</v>
      </c>
      <c r="G1113" s="777">
        <v>575</v>
      </c>
      <c r="H1113" s="634" t="s">
        <v>1070</v>
      </c>
      <c r="I1113" s="818">
        <f>+R905</f>
        <v>0.9432470865927236</v>
      </c>
      <c r="J1113" s="751"/>
      <c r="K1113" s="530">
        <f>+E1113*G1113*I1113</f>
        <v>4338.9365983265288</v>
      </c>
      <c r="L1113" s="61" t="s">
        <v>11</v>
      </c>
      <c r="M1113" s="1067"/>
      <c r="N1113" s="420"/>
      <c r="O1113"/>
      <c r="P1113" s="412"/>
      <c r="Q1113" s="391"/>
      <c r="T1113" s="393"/>
    </row>
    <row r="1114" spans="1:20" ht="30" customHeight="1" x14ac:dyDescent="0.25">
      <c r="A1114" s="61">
        <v>93210</v>
      </c>
      <c r="B1114" s="236" t="s">
        <v>1101</v>
      </c>
      <c r="C1114" s="237"/>
      <c r="D1114" s="238"/>
      <c r="E1114" s="781">
        <f>+P907</f>
        <v>44.901000000000003</v>
      </c>
      <c r="F1114" s="644" t="s">
        <v>307</v>
      </c>
      <c r="G1114" s="777">
        <v>156</v>
      </c>
      <c r="H1114" s="634" t="s">
        <v>1070</v>
      </c>
      <c r="I1114" s="821">
        <f>+R907</f>
        <v>0.9432470865927236</v>
      </c>
      <c r="J1114" s="751"/>
      <c r="K1114" s="530">
        <f>+E1114*G1114*I1114</f>
        <v>6607.027039875582</v>
      </c>
      <c r="L1114" s="61" t="s">
        <v>11</v>
      </c>
      <c r="M1114" s="1067"/>
      <c r="N1114" s="420"/>
      <c r="O1114"/>
      <c r="P1114" s="412"/>
      <c r="Q1114" s="391"/>
      <c r="T1114" s="393"/>
    </row>
    <row r="1115" spans="1:20" ht="30" customHeight="1" x14ac:dyDescent="0.25">
      <c r="A1115" s="61"/>
      <c r="B1115" s="192"/>
      <c r="C1115" s="192"/>
      <c r="D1115" s="192"/>
      <c r="E1115" s="530"/>
      <c r="F1115" s="61"/>
      <c r="G1115" s="817"/>
      <c r="H1115" s="646"/>
      <c r="I1115" s="20"/>
      <c r="J1115" s="20" t="s">
        <v>646</v>
      </c>
      <c r="K1115" s="530">
        <f>SUM(K1100:K1114)</f>
        <v>197640.63746613654</v>
      </c>
      <c r="L1115" s="61" t="s">
        <v>11</v>
      </c>
      <c r="N1115" s="420"/>
      <c r="O1115"/>
      <c r="P1115" s="412"/>
      <c r="Q1115" s="391"/>
      <c r="T1115" s="393"/>
    </row>
    <row r="1116" spans="1:20" s="49" customFormat="1" ht="30" customHeight="1" thickBot="1" x14ac:dyDescent="0.3">
      <c r="A1116" s="61"/>
      <c r="B1116" s="61"/>
      <c r="C1116" s="63"/>
      <c r="D1116" s="63"/>
      <c r="E1116" s="63"/>
      <c r="F1116" s="63"/>
      <c r="G1116" s="445" t="s">
        <v>537</v>
      </c>
      <c r="H1116" s="63"/>
      <c r="I1116" s="18"/>
      <c r="J1116" s="361">
        <f>VLOOKUP(B1097,'Mil Cost Premiums for RUCs'!$A$4:$R$265,18,FALSE)</f>
        <v>1.0485669999999998</v>
      </c>
      <c r="K1116" s="21">
        <f>+K1115*J1116</f>
        <v>207239.45030595435</v>
      </c>
      <c r="L1116" s="61" t="s">
        <v>11</v>
      </c>
      <c r="M1116" s="1897"/>
      <c r="N1116" s="420"/>
      <c r="P1116" s="412"/>
      <c r="Q1116" s="391"/>
      <c r="T1116" s="393"/>
    </row>
    <row r="1117" spans="1:20" ht="30" customHeight="1" thickBot="1" x14ac:dyDescent="0.3">
      <c r="A1117" s="76"/>
      <c r="B1117" s="77"/>
      <c r="C1117" s="77"/>
      <c r="D1117" s="77"/>
      <c r="E1117" s="77"/>
      <c r="F1117" s="77"/>
      <c r="G1117" s="77"/>
      <c r="H1117" s="77"/>
      <c r="I1117" s="77"/>
      <c r="J1117" s="77"/>
      <c r="K1117" s="77"/>
      <c r="L1117" s="78"/>
      <c r="M1117" s="1067"/>
      <c r="N1117" s="420"/>
      <c r="O1117"/>
      <c r="P1117" s="412"/>
      <c r="Q1117" s="391"/>
      <c r="T1117" s="393"/>
    </row>
    <row r="1118" spans="1:20" ht="75" customHeight="1" x14ac:dyDescent="0.25">
      <c r="A1118" s="30" t="s">
        <v>288</v>
      </c>
      <c r="B1118" s="31">
        <v>1771</v>
      </c>
      <c r="C1118" s="863" t="s">
        <v>1102</v>
      </c>
      <c r="D1118" s="864"/>
      <c r="E1118" s="177" t="s">
        <v>291</v>
      </c>
      <c r="F1118" s="37" t="s">
        <v>50</v>
      </c>
      <c r="G1118" s="465" t="s">
        <v>1103</v>
      </c>
      <c r="H1118" s="487">
        <v>1</v>
      </c>
      <c r="I1118" s="36" t="s">
        <v>292</v>
      </c>
      <c r="J1118" s="38" t="s">
        <v>3385</v>
      </c>
      <c r="K1118" s="38"/>
      <c r="L1118" s="389"/>
      <c r="M1118" s="1067"/>
      <c r="N1118" s="420"/>
      <c r="O1118"/>
      <c r="P1118" s="412"/>
      <c r="Q1118" s="391"/>
      <c r="T1118" s="393"/>
    </row>
    <row r="1119" spans="1:20" ht="30" customHeight="1" x14ac:dyDescent="0.25">
      <c r="A1119" s="44" t="s">
        <v>913</v>
      </c>
      <c r="B1119" s="490" t="s">
        <v>560</v>
      </c>
      <c r="C1119" s="491"/>
      <c r="D1119" s="492"/>
      <c r="E1119" s="397" t="s">
        <v>519</v>
      </c>
      <c r="F1119" s="793" t="s">
        <v>561</v>
      </c>
      <c r="G1119" s="398" t="s">
        <v>562</v>
      </c>
      <c r="H1119" s="399"/>
      <c r="I1119" s="181" t="s">
        <v>530</v>
      </c>
      <c r="J1119" s="400" t="s">
        <v>533</v>
      </c>
      <c r="K1119" s="288" t="s">
        <v>521</v>
      </c>
      <c r="L1119" s="289"/>
      <c r="M1119" s="1067"/>
      <c r="N1119" s="420"/>
      <c r="O1119"/>
      <c r="P1119" s="412"/>
      <c r="Q1119" s="391"/>
      <c r="T1119" s="393"/>
    </row>
    <row r="1120" spans="1:20" ht="30" customHeight="1" x14ac:dyDescent="0.25">
      <c r="A1120" s="44"/>
      <c r="B1120" s="716" t="s">
        <v>1104</v>
      </c>
      <c r="C1120" s="717"/>
      <c r="D1120" s="718"/>
      <c r="E1120" s="397"/>
      <c r="F1120" s="793"/>
      <c r="G1120" s="774"/>
      <c r="H1120" s="775"/>
      <c r="I1120" s="599"/>
      <c r="J1120" s="599"/>
      <c r="K1120" s="397"/>
      <c r="L1120" s="397"/>
      <c r="M1120" s="1067"/>
      <c r="N1120" s="420"/>
      <c r="O1120"/>
      <c r="P1120" s="412"/>
      <c r="Q1120" s="391"/>
      <c r="T1120" s="393"/>
    </row>
    <row r="1121" spans="1:20" ht="30" customHeight="1" x14ac:dyDescent="0.25">
      <c r="A1121" s="61" t="s">
        <v>849</v>
      </c>
      <c r="B1121" s="236" t="s">
        <v>1105</v>
      </c>
      <c r="C1121" s="237"/>
      <c r="D1121" s="238"/>
      <c r="E1121" s="781">
        <f>+P886</f>
        <v>8.8450000000000006</v>
      </c>
      <c r="F1121" s="61" t="s">
        <v>9</v>
      </c>
      <c r="G1121" s="777">
        <f>146*62</f>
        <v>9052</v>
      </c>
      <c r="H1121" s="609" t="s">
        <v>1020</v>
      </c>
      <c r="I1121" s="751">
        <f>+R886</f>
        <v>1.04</v>
      </c>
      <c r="J1121" s="751">
        <f>+S886</f>
        <v>1.0490196078431373</v>
      </c>
      <c r="K1121" s="405">
        <f t="shared" ref="K1121:K1132" si="16">+E1121*G1121*I1121*J1121</f>
        <v>87349.279639215703</v>
      </c>
      <c r="L1121" s="20" t="s">
        <v>50</v>
      </c>
      <c r="M1121" s="1067"/>
      <c r="N1121" s="420"/>
      <c r="O1121"/>
      <c r="P1121" s="412"/>
      <c r="Q1121" s="391"/>
      <c r="T1121" s="393"/>
    </row>
    <row r="1122" spans="1:20" ht="30" customHeight="1" x14ac:dyDescent="0.25">
      <c r="A1122" s="61" t="s">
        <v>916</v>
      </c>
      <c r="B1122" s="236" t="s">
        <v>917</v>
      </c>
      <c r="C1122" s="237"/>
      <c r="D1122" s="238"/>
      <c r="E1122" s="781">
        <f>+P890</f>
        <v>439.5</v>
      </c>
      <c r="F1122" s="644" t="s">
        <v>11</v>
      </c>
      <c r="G1122" s="777">
        <v>146</v>
      </c>
      <c r="H1122" s="609" t="s">
        <v>1050</v>
      </c>
      <c r="I1122" s="751">
        <f>+R890</f>
        <v>1.02</v>
      </c>
      <c r="J1122" s="751">
        <f>+S890</f>
        <v>1.0490196078431373</v>
      </c>
      <c r="K1122" s="405">
        <f t="shared" si="16"/>
        <v>68658.69</v>
      </c>
      <c r="L1122" s="20" t="s">
        <v>50</v>
      </c>
      <c r="M1122" s="1067"/>
      <c r="N1122" s="420"/>
      <c r="O1122"/>
      <c r="P1122" s="412"/>
      <c r="Q1122" s="391"/>
      <c r="T1122" s="393"/>
    </row>
    <row r="1123" spans="1:20" ht="30" customHeight="1" x14ac:dyDescent="0.25">
      <c r="A1123" s="61" t="s">
        <v>916</v>
      </c>
      <c r="B1123" s="192" t="s">
        <v>919</v>
      </c>
      <c r="C1123" s="192"/>
      <c r="D1123" s="192"/>
      <c r="E1123" s="781">
        <f>+P892</f>
        <v>316</v>
      </c>
      <c r="F1123" s="644" t="s">
        <v>11</v>
      </c>
      <c r="G1123" s="777">
        <v>146</v>
      </c>
      <c r="H1123" s="609" t="s">
        <v>1050</v>
      </c>
      <c r="I1123" s="751">
        <f>+R892</f>
        <v>1.02</v>
      </c>
      <c r="J1123" s="751">
        <f>+S892</f>
        <v>1.0490196078431373</v>
      </c>
      <c r="K1123" s="405">
        <f t="shared" si="16"/>
        <v>49365.520000000004</v>
      </c>
      <c r="L1123" s="20" t="s">
        <v>50</v>
      </c>
      <c r="M1123" s="1067"/>
      <c r="N1123" s="420"/>
      <c r="O1123"/>
      <c r="P1123" s="412"/>
      <c r="Q1123" s="391"/>
      <c r="T1123" s="393"/>
    </row>
    <row r="1124" spans="1:20" ht="30" customHeight="1" x14ac:dyDescent="0.25">
      <c r="A1124" s="61" t="s">
        <v>849</v>
      </c>
      <c r="B1124" s="192" t="s">
        <v>1106</v>
      </c>
      <c r="C1124" s="192"/>
      <c r="D1124" s="192"/>
      <c r="E1124" s="781">
        <f>+P887</f>
        <v>10.805</v>
      </c>
      <c r="F1124" s="61" t="s">
        <v>9</v>
      </c>
      <c r="G1124" s="777">
        <f>30*468</f>
        <v>14040</v>
      </c>
      <c r="H1124" s="609" t="s">
        <v>1020</v>
      </c>
      <c r="I1124" s="751">
        <f>+R887</f>
        <v>1.04</v>
      </c>
      <c r="J1124" s="751">
        <f>+S887</f>
        <v>1.0490196078431373</v>
      </c>
      <c r="K1124" s="405">
        <f t="shared" si="16"/>
        <v>165504.12564705883</v>
      </c>
      <c r="L1124" s="20" t="s">
        <v>50</v>
      </c>
      <c r="O1124"/>
      <c r="P1124" s="412"/>
      <c r="Q1124" s="391"/>
      <c r="T1124" s="393"/>
    </row>
    <row r="1125" spans="1:20" ht="30" customHeight="1" x14ac:dyDescent="0.25">
      <c r="A1125" s="61" t="s">
        <v>780</v>
      </c>
      <c r="B1125" s="192" t="s">
        <v>1107</v>
      </c>
      <c r="C1125" s="192"/>
      <c r="D1125" s="192"/>
      <c r="E1125" s="781">
        <f>+P888</f>
        <v>17.95</v>
      </c>
      <c r="F1125" s="61" t="s">
        <v>9</v>
      </c>
      <c r="G1125" s="777">
        <f>2152*6</f>
        <v>12912</v>
      </c>
      <c r="H1125" s="609" t="s">
        <v>1020</v>
      </c>
      <c r="I1125" s="751">
        <f>+R888</f>
        <v>1.04</v>
      </c>
      <c r="J1125" s="751">
        <f>+S888</f>
        <v>1.0490196078431373</v>
      </c>
      <c r="K1125" s="405">
        <f t="shared" si="16"/>
        <v>252856.96188235297</v>
      </c>
      <c r="L1125" s="20" t="s">
        <v>50</v>
      </c>
      <c r="M1125" s="1067"/>
      <c r="N1125" s="420"/>
      <c r="O1125"/>
      <c r="P1125" s="412"/>
      <c r="Q1125" s="391"/>
      <c r="T1125" s="393"/>
    </row>
    <row r="1126" spans="1:20" ht="30" customHeight="1" x14ac:dyDescent="0.25">
      <c r="A1126" s="61" t="s">
        <v>780</v>
      </c>
      <c r="B1126" s="192" t="s">
        <v>1108</v>
      </c>
      <c r="C1126" s="192"/>
      <c r="D1126" s="192"/>
      <c r="E1126" s="781">
        <f>+P888</f>
        <v>17.95</v>
      </c>
      <c r="F1126" s="61" t="s">
        <v>9</v>
      </c>
      <c r="G1126" s="777">
        <f>80.7*4</f>
        <v>322.8</v>
      </c>
      <c r="H1126" s="609" t="s">
        <v>1020</v>
      </c>
      <c r="I1126" s="751">
        <f>+R888</f>
        <v>1.04</v>
      </c>
      <c r="J1126" s="751">
        <f>+S888</f>
        <v>1.0490196078431373</v>
      </c>
      <c r="K1126" s="405">
        <f t="shared" si="16"/>
        <v>6321.4240470588247</v>
      </c>
      <c r="L1126" s="20" t="s">
        <v>50</v>
      </c>
      <c r="M1126" s="1067"/>
      <c r="N1126" s="420"/>
      <c r="O1126"/>
      <c r="P1126" s="412"/>
      <c r="Q1126" s="391"/>
      <c r="T1126" s="393"/>
    </row>
    <row r="1127" spans="1:20" ht="30" customHeight="1" x14ac:dyDescent="0.25">
      <c r="A1127" s="61" t="s">
        <v>916</v>
      </c>
      <c r="B1127" s="192" t="s">
        <v>953</v>
      </c>
      <c r="C1127" s="192"/>
      <c r="D1127" s="192"/>
      <c r="E1127" s="781">
        <f>+P891</f>
        <v>800</v>
      </c>
      <c r="F1127" s="644" t="s">
        <v>11</v>
      </c>
      <c r="G1127" s="777">
        <v>40</v>
      </c>
      <c r="H1127" s="609" t="s">
        <v>1050</v>
      </c>
      <c r="I1127" s="751">
        <f>+R891</f>
        <v>1.02</v>
      </c>
      <c r="J1127" s="751">
        <f>+S891</f>
        <v>1.0490196078431373</v>
      </c>
      <c r="K1127" s="405">
        <f t="shared" si="16"/>
        <v>34240</v>
      </c>
      <c r="L1127" s="20" t="s">
        <v>50</v>
      </c>
      <c r="M1127" s="860"/>
      <c r="N1127" s="420"/>
      <c r="O1127"/>
      <c r="P1127" s="412"/>
      <c r="Q1127" s="391"/>
      <c r="T1127" s="393"/>
    </row>
    <row r="1128" spans="1:20" ht="30" customHeight="1" x14ac:dyDescent="0.25">
      <c r="A1128" s="61" t="s">
        <v>760</v>
      </c>
      <c r="B1128" s="192" t="s">
        <v>1109</v>
      </c>
      <c r="C1128" s="192"/>
      <c r="D1128" s="192"/>
      <c r="E1128" s="781">
        <f>+P898</f>
        <v>17.125</v>
      </c>
      <c r="F1128" s="644" t="s">
        <v>7</v>
      </c>
      <c r="G1128" s="777">
        <f>+((656*6)+(49*4))</f>
        <v>4132</v>
      </c>
      <c r="H1128" s="609" t="s">
        <v>1052</v>
      </c>
      <c r="I1128" s="751">
        <f>+R898</f>
        <v>1.02</v>
      </c>
      <c r="J1128" s="751">
        <f>+S898</f>
        <v>1.0490196078431373</v>
      </c>
      <c r="K1128" s="405">
        <f t="shared" si="16"/>
        <v>75713.735000000015</v>
      </c>
      <c r="L1128" s="20" t="s">
        <v>50</v>
      </c>
      <c r="M1128" s="1067"/>
      <c r="N1128" s="420"/>
      <c r="O1128"/>
      <c r="P1128" s="412"/>
      <c r="Q1128" s="391"/>
      <c r="T1128" s="393"/>
    </row>
    <row r="1129" spans="1:20" ht="30" customHeight="1" x14ac:dyDescent="0.25">
      <c r="A1129" s="61" t="s">
        <v>760</v>
      </c>
      <c r="B1129" s="192" t="s">
        <v>1080</v>
      </c>
      <c r="C1129" s="192"/>
      <c r="D1129" s="192"/>
      <c r="E1129" s="781">
        <f>+P899</f>
        <v>2617.5</v>
      </c>
      <c r="F1129" s="644" t="s">
        <v>11</v>
      </c>
      <c r="G1129" s="777">
        <v>10</v>
      </c>
      <c r="H1129" s="609" t="s">
        <v>1050</v>
      </c>
      <c r="I1129" s="751">
        <f>+R899</f>
        <v>1.02</v>
      </c>
      <c r="J1129" s="751">
        <f>+S899</f>
        <v>1.0490196078431373</v>
      </c>
      <c r="K1129" s="405">
        <f t="shared" si="16"/>
        <v>28007.25</v>
      </c>
      <c r="L1129" s="20" t="s">
        <v>50</v>
      </c>
      <c r="M1129" s="1067"/>
      <c r="N1129" s="420"/>
      <c r="O1129"/>
      <c r="P1129" s="412"/>
      <c r="Q1129" s="391"/>
      <c r="T1129" s="393"/>
    </row>
    <row r="1130" spans="1:20" ht="30" customHeight="1" x14ac:dyDescent="0.25">
      <c r="A1130" s="61" t="s">
        <v>916</v>
      </c>
      <c r="B1130" s="192" t="s">
        <v>1004</v>
      </c>
      <c r="C1130" s="192"/>
      <c r="D1130" s="192"/>
      <c r="E1130" s="781">
        <f>+P894</f>
        <v>985</v>
      </c>
      <c r="F1130" s="644" t="s">
        <v>11</v>
      </c>
      <c r="G1130" s="777">
        <v>40</v>
      </c>
      <c r="H1130" s="609" t="s">
        <v>1050</v>
      </c>
      <c r="I1130" s="751">
        <f t="shared" ref="I1130:J1132" si="17">+R894</f>
        <v>1.02</v>
      </c>
      <c r="J1130" s="751">
        <f t="shared" si="17"/>
        <v>1.0490196078431373</v>
      </c>
      <c r="K1130" s="405">
        <f t="shared" si="16"/>
        <v>42158</v>
      </c>
      <c r="L1130" s="20" t="s">
        <v>50</v>
      </c>
      <c r="M1130" s="1854"/>
      <c r="N1130" s="420"/>
      <c r="O1130"/>
      <c r="P1130" s="412"/>
      <c r="Q1130" s="391"/>
      <c r="T1130" s="393"/>
    </row>
    <row r="1131" spans="1:20" ht="30" customHeight="1" x14ac:dyDescent="0.25">
      <c r="A1131" s="61" t="s">
        <v>920</v>
      </c>
      <c r="B1131" s="192" t="s">
        <v>1081</v>
      </c>
      <c r="C1131" s="192"/>
      <c r="D1131" s="192"/>
      <c r="E1131" s="781">
        <f>+P895</f>
        <v>137.85</v>
      </c>
      <c r="F1131" s="644" t="s">
        <v>11</v>
      </c>
      <c r="G1131" s="777">
        <v>774</v>
      </c>
      <c r="H1131" s="634" t="s">
        <v>1050</v>
      </c>
      <c r="I1131" s="751">
        <f t="shared" si="17"/>
        <v>1.02</v>
      </c>
      <c r="J1131" s="751">
        <f t="shared" si="17"/>
        <v>1.0490196078431373</v>
      </c>
      <c r="K1131" s="530">
        <f t="shared" si="16"/>
        <v>114164.613</v>
      </c>
      <c r="L1131" s="61" t="s">
        <v>50</v>
      </c>
      <c r="M1131" s="1940"/>
      <c r="N1131" s="1966"/>
      <c r="O1131"/>
      <c r="P1131" s="412"/>
      <c r="Q1131" s="391"/>
      <c r="T1131" s="393"/>
    </row>
    <row r="1132" spans="1:20" ht="30" customHeight="1" x14ac:dyDescent="0.25">
      <c r="A1132" s="61" t="s">
        <v>922</v>
      </c>
      <c r="B1132" s="236" t="s">
        <v>1082</v>
      </c>
      <c r="C1132" s="237"/>
      <c r="D1132" s="238"/>
      <c r="E1132" s="781">
        <f>+P896</f>
        <v>17.110000000000003</v>
      </c>
      <c r="F1132" s="644" t="s">
        <v>7</v>
      </c>
      <c r="G1132" s="777">
        <v>165233</v>
      </c>
      <c r="H1132" s="634" t="s">
        <v>1052</v>
      </c>
      <c r="I1132" s="751">
        <f t="shared" si="17"/>
        <v>1.02</v>
      </c>
      <c r="J1132" s="751">
        <f t="shared" si="17"/>
        <v>1.0490196078431373</v>
      </c>
      <c r="K1132" s="530">
        <f t="shared" si="16"/>
        <v>3025036.1941000009</v>
      </c>
      <c r="L1132" s="61" t="s">
        <v>50</v>
      </c>
      <c r="M1132" s="1942"/>
      <c r="N1132" s="1968"/>
      <c r="O1132"/>
      <c r="P1132" s="412"/>
      <c r="Q1132" s="391"/>
      <c r="T1132" s="393"/>
    </row>
    <row r="1133" spans="1:20" ht="30" customHeight="1" x14ac:dyDescent="0.25">
      <c r="A1133" s="61">
        <v>93410</v>
      </c>
      <c r="B1133" s="236" t="s">
        <v>1110</v>
      </c>
      <c r="C1133" s="237"/>
      <c r="D1133" s="238"/>
      <c r="E1133" s="594">
        <f>+P906</f>
        <v>1.1000000000000001</v>
      </c>
      <c r="F1133" s="644" t="s">
        <v>3</v>
      </c>
      <c r="G1133" s="777">
        <v>2488</v>
      </c>
      <c r="H1133" s="634" t="s">
        <v>1055</v>
      </c>
      <c r="I1133" s="821">
        <f>+R906</f>
        <v>0.9432470865927236</v>
      </c>
      <c r="J1133" s="20"/>
      <c r="K1133" s="530">
        <f>+E1133*G1133*I1133</f>
        <v>2581.4786265869661</v>
      </c>
      <c r="L1133" s="61" t="s">
        <v>50</v>
      </c>
      <c r="M1133" s="1067"/>
      <c r="N1133" s="420"/>
      <c r="O1133"/>
      <c r="P1133" s="412"/>
      <c r="Q1133" s="391"/>
      <c r="T1133" s="393"/>
    </row>
    <row r="1134" spans="1:20" ht="30" customHeight="1" x14ac:dyDescent="0.25">
      <c r="A1134" s="61" t="s">
        <v>849</v>
      </c>
      <c r="B1134" s="236" t="s">
        <v>1111</v>
      </c>
      <c r="C1134" s="237"/>
      <c r="D1134" s="238"/>
      <c r="E1134" s="781">
        <f>+P887</f>
        <v>10.805</v>
      </c>
      <c r="F1134" s="61" t="s">
        <v>9</v>
      </c>
      <c r="G1134" s="777">
        <f>481*8</f>
        <v>3848</v>
      </c>
      <c r="H1134" s="634" t="s">
        <v>1020</v>
      </c>
      <c r="I1134" s="20">
        <f>+R887</f>
        <v>1.04</v>
      </c>
      <c r="J1134" s="751">
        <f>+S887</f>
        <v>1.0490196078431373</v>
      </c>
      <c r="K1134" s="530">
        <f>+E1134*G1134*I1134*J1134</f>
        <v>45360.389992156866</v>
      </c>
      <c r="L1134" s="61" t="s">
        <v>50</v>
      </c>
      <c r="M1134" s="1067"/>
      <c r="N1134" s="420"/>
      <c r="O1134"/>
      <c r="P1134" s="412"/>
      <c r="Q1134" s="391"/>
      <c r="T1134" s="393"/>
    </row>
    <row r="1135" spans="1:20" ht="30" customHeight="1" x14ac:dyDescent="0.25">
      <c r="A1135" s="61">
        <v>93410</v>
      </c>
      <c r="B1135" s="236" t="s">
        <v>1112</v>
      </c>
      <c r="C1135" s="237"/>
      <c r="D1135" s="238"/>
      <c r="E1135" s="781">
        <f>+P905</f>
        <v>8</v>
      </c>
      <c r="F1135" s="644" t="s">
        <v>307</v>
      </c>
      <c r="G1135" s="777">
        <v>5713</v>
      </c>
      <c r="H1135" s="634" t="s">
        <v>1022</v>
      </c>
      <c r="I1135" s="821">
        <f>+R905</f>
        <v>0.9432470865927236</v>
      </c>
      <c r="J1135" s="20"/>
      <c r="K1135" s="530">
        <f>+E1135*G1135*I1135</f>
        <v>43110.164845633837</v>
      </c>
      <c r="L1135" s="61" t="s">
        <v>50</v>
      </c>
      <c r="M1135" s="1067"/>
      <c r="N1135" s="420"/>
      <c r="O1135"/>
      <c r="P1135" s="412"/>
      <c r="Q1135" s="391"/>
      <c r="T1135" s="393"/>
    </row>
    <row r="1136" spans="1:20" ht="30" customHeight="1" x14ac:dyDescent="0.25">
      <c r="A1136" s="61" t="s">
        <v>574</v>
      </c>
      <c r="B1136" s="236" t="s">
        <v>1113</v>
      </c>
      <c r="C1136" s="237"/>
      <c r="D1136" s="238"/>
      <c r="E1136" s="594">
        <f>+P885</f>
        <v>3015</v>
      </c>
      <c r="F1136" s="644" t="s">
        <v>11</v>
      </c>
      <c r="G1136" s="777">
        <v>2</v>
      </c>
      <c r="H1136" s="634" t="s">
        <v>1050</v>
      </c>
      <c r="I1136" s="20">
        <f>+R885</f>
        <v>1.04</v>
      </c>
      <c r="J1136" s="751">
        <f>+S885</f>
        <v>1.0490196078431373</v>
      </c>
      <c r="K1136" s="530">
        <f>+E1136*G1136*I1136*J1136</f>
        <v>6578.6117647058827</v>
      </c>
      <c r="L1136" s="61" t="s">
        <v>50</v>
      </c>
      <c r="M1136" s="865"/>
      <c r="N1136" s="420"/>
      <c r="O1136"/>
      <c r="P1136" s="412"/>
      <c r="Q1136" s="391"/>
      <c r="T1136" s="393"/>
    </row>
    <row r="1137" spans="1:20" s="49" customFormat="1" ht="30" customHeight="1" x14ac:dyDescent="0.25">
      <c r="A1137" s="61">
        <v>93210</v>
      </c>
      <c r="B1137" s="236" t="s">
        <v>1114</v>
      </c>
      <c r="C1137" s="237"/>
      <c r="D1137" s="238"/>
      <c r="E1137" s="781">
        <f>+P907</f>
        <v>44.901000000000003</v>
      </c>
      <c r="F1137" s="644" t="s">
        <v>307</v>
      </c>
      <c r="G1137" s="777">
        <v>7850</v>
      </c>
      <c r="H1137" s="634" t="s">
        <v>1022</v>
      </c>
      <c r="I1137" s="821">
        <f>+R907</f>
        <v>0.9432470865927236</v>
      </c>
      <c r="J1137" s="20"/>
      <c r="K1137" s="530">
        <f>+E1137*G1137*I1137</f>
        <v>332468.98886553413</v>
      </c>
      <c r="L1137" s="61" t="s">
        <v>50</v>
      </c>
      <c r="M1137" s="1897"/>
      <c r="N1137" s="420"/>
      <c r="P1137" s="412"/>
      <c r="Q1137" s="391"/>
      <c r="T1137" s="393"/>
    </row>
    <row r="1138" spans="1:20" ht="30" customHeight="1" x14ac:dyDescent="0.25">
      <c r="A1138" s="61" t="s">
        <v>942</v>
      </c>
      <c r="B1138" s="236" t="s">
        <v>1115</v>
      </c>
      <c r="C1138" s="237"/>
      <c r="D1138" s="238"/>
      <c r="E1138" s="594">
        <f>+P884</f>
        <v>18.05</v>
      </c>
      <c r="F1138" s="644" t="s">
        <v>9</v>
      </c>
      <c r="G1138" s="777">
        <v>2800</v>
      </c>
      <c r="H1138" s="634" t="s">
        <v>1020</v>
      </c>
      <c r="I1138" s="759">
        <f>+R884</f>
        <v>1.06</v>
      </c>
      <c r="J1138" s="751">
        <f>+S884</f>
        <v>1.0490196078431373</v>
      </c>
      <c r="K1138" s="530">
        <f>+E1138*G1138*I1138*J1138</f>
        <v>56198.498039215687</v>
      </c>
      <c r="L1138" s="61" t="s">
        <v>50</v>
      </c>
      <c r="M1138" s="1067"/>
      <c r="N1138" s="420"/>
      <c r="O1138"/>
      <c r="P1138" s="412"/>
      <c r="Q1138" s="391"/>
      <c r="T1138" s="393"/>
    </row>
    <row r="1139" spans="1:20" ht="30" customHeight="1" x14ac:dyDescent="0.25">
      <c r="A1139" s="61"/>
      <c r="B1139" s="192"/>
      <c r="C1139" s="192"/>
      <c r="D1139" s="192"/>
      <c r="E1139" s="530"/>
      <c r="F1139" s="61"/>
      <c r="G1139" s="817"/>
      <c r="H1139" s="646"/>
      <c r="I1139" s="20"/>
      <c r="J1139" s="20" t="s">
        <v>646</v>
      </c>
      <c r="K1139" s="530">
        <f>SUM(K1121:K1138)</f>
        <v>4435673.9254495203</v>
      </c>
      <c r="L1139" s="61" t="s">
        <v>50</v>
      </c>
      <c r="M1139" s="1067"/>
      <c r="N1139" s="420"/>
      <c r="O1139"/>
      <c r="P1139" s="412"/>
      <c r="Q1139" s="391"/>
      <c r="T1139" s="393"/>
    </row>
    <row r="1140" spans="1:20" ht="30" customHeight="1" thickBot="1" x14ac:dyDescent="0.3">
      <c r="A1140" s="61"/>
      <c r="B1140" s="61"/>
      <c r="C1140" s="63"/>
      <c r="D1140" s="63"/>
      <c r="E1140" s="63"/>
      <c r="F1140" s="63"/>
      <c r="G1140" s="445" t="s">
        <v>537</v>
      </c>
      <c r="H1140" s="63"/>
      <c r="I1140" s="18"/>
      <c r="J1140" s="361">
        <f>VLOOKUP(B1118,'Mil Cost Premiums for RUCs'!$A$4:$R$265,18,FALSE)</f>
        <v>1.0821211439999998</v>
      </c>
      <c r="K1140" s="21">
        <f>+K1139*J1140</f>
        <v>4799936.5426184051</v>
      </c>
      <c r="L1140" s="61" t="s">
        <v>50</v>
      </c>
      <c r="M1140" s="1067"/>
      <c r="N1140" s="420"/>
      <c r="O1140"/>
      <c r="P1140" s="412"/>
      <c r="Q1140" s="391"/>
      <c r="T1140" s="393"/>
    </row>
    <row r="1141" spans="1:20" ht="30" customHeight="1" thickBot="1" x14ac:dyDescent="0.3">
      <c r="A1141" s="76"/>
      <c r="B1141" s="77"/>
      <c r="C1141" s="77"/>
      <c r="D1141" s="77"/>
      <c r="E1141" s="77"/>
      <c r="F1141" s="77"/>
      <c r="G1141" s="77"/>
      <c r="H1141" s="77"/>
      <c r="I1141" s="77"/>
      <c r="J1141" s="77"/>
      <c r="K1141" s="77"/>
      <c r="L1141" s="78"/>
      <c r="M1141" s="1067"/>
      <c r="N1141" s="420"/>
      <c r="O1141"/>
      <c r="P1141" s="412"/>
      <c r="Q1141" s="391"/>
      <c r="T1141" s="393"/>
    </row>
    <row r="1142" spans="1:20" ht="75" customHeight="1" x14ac:dyDescent="0.25">
      <c r="A1142" s="207" t="s">
        <v>288</v>
      </c>
      <c r="B1142" s="208">
        <v>1772</v>
      </c>
      <c r="C1142" s="209" t="s">
        <v>1116</v>
      </c>
      <c r="D1142" s="210"/>
      <c r="E1142" s="177" t="s">
        <v>291</v>
      </c>
      <c r="F1142" s="178" t="s">
        <v>11</v>
      </c>
      <c r="G1142" s="465" t="s">
        <v>1117</v>
      </c>
      <c r="H1142" s="388">
        <v>1</v>
      </c>
      <c r="I1142" s="177" t="s">
        <v>292</v>
      </c>
      <c r="J1142" s="38" t="s">
        <v>3383</v>
      </c>
      <c r="K1142" s="38"/>
      <c r="L1142" s="389"/>
      <c r="M1142" s="1067"/>
      <c r="N1142" s="420"/>
      <c r="O1142"/>
      <c r="P1142" s="412"/>
      <c r="Q1142" s="391"/>
      <c r="T1142" s="393"/>
    </row>
    <row r="1143" spans="1:20" ht="30" customHeight="1" x14ac:dyDescent="0.25">
      <c r="A1143" s="181" t="s">
        <v>913</v>
      </c>
      <c r="B1143" s="394" t="s">
        <v>560</v>
      </c>
      <c r="C1143" s="395"/>
      <c r="D1143" s="396"/>
      <c r="E1143" s="397" t="s">
        <v>519</v>
      </c>
      <c r="F1143" s="397" t="s">
        <v>561</v>
      </c>
      <c r="G1143" s="398" t="s">
        <v>562</v>
      </c>
      <c r="H1143" s="399"/>
      <c r="I1143" s="181" t="s">
        <v>530</v>
      </c>
      <c r="J1143" s="675" t="s">
        <v>533</v>
      </c>
      <c r="K1143" s="507" t="s">
        <v>521</v>
      </c>
      <c r="L1143" s="508"/>
      <c r="M1143" s="1067"/>
      <c r="N1143" s="420"/>
      <c r="O1143"/>
      <c r="P1143" s="412"/>
      <c r="Q1143" s="391"/>
      <c r="T1143" s="393"/>
    </row>
    <row r="1144" spans="1:20" ht="30" customHeight="1" x14ac:dyDescent="0.25">
      <c r="A1144" s="181"/>
      <c r="B1144" s="503" t="s">
        <v>1118</v>
      </c>
      <c r="C1144" s="504"/>
      <c r="D1144" s="505"/>
      <c r="E1144" s="397"/>
      <c r="F1144" s="397"/>
      <c r="G1144" s="774"/>
      <c r="H1144" s="775"/>
      <c r="I1144" s="599"/>
      <c r="J1144" s="599"/>
      <c r="K1144" s="397"/>
      <c r="L1144" s="397"/>
      <c r="M1144" s="857"/>
      <c r="N1144" s="858"/>
      <c r="O1144"/>
      <c r="P1144" s="412"/>
      <c r="Q1144" s="391"/>
      <c r="T1144" s="393"/>
    </row>
    <row r="1145" spans="1:20" ht="30" customHeight="1" x14ac:dyDescent="0.25">
      <c r="A1145" s="20" t="s">
        <v>849</v>
      </c>
      <c r="B1145" s="402" t="s">
        <v>1119</v>
      </c>
      <c r="C1145" s="403"/>
      <c r="D1145" s="404"/>
      <c r="E1145" s="781">
        <f>+P886</f>
        <v>8.8450000000000006</v>
      </c>
      <c r="F1145" s="20" t="s">
        <v>9</v>
      </c>
      <c r="G1145" s="777">
        <f>294*62</f>
        <v>18228</v>
      </c>
      <c r="H1145" s="609" t="s">
        <v>1062</v>
      </c>
      <c r="I1145" s="751">
        <f>+R886</f>
        <v>1.04</v>
      </c>
      <c r="J1145" s="751">
        <f>+S886</f>
        <v>1.0490196078431373</v>
      </c>
      <c r="K1145" s="405">
        <f t="shared" ref="K1145:K1156" si="18">+E1145*G1145*I1145*J1145</f>
        <v>175895.12475294119</v>
      </c>
      <c r="L1145" s="20" t="s">
        <v>11</v>
      </c>
      <c r="M1145" s="857"/>
      <c r="N1145" s="858"/>
      <c r="O1145"/>
      <c r="P1145" s="412"/>
      <c r="Q1145" s="391"/>
      <c r="T1145" s="393"/>
    </row>
    <row r="1146" spans="1:20" ht="30" customHeight="1" x14ac:dyDescent="0.25">
      <c r="A1146" s="20" t="s">
        <v>916</v>
      </c>
      <c r="B1146" s="402" t="s">
        <v>917</v>
      </c>
      <c r="C1146" s="403"/>
      <c r="D1146" s="404"/>
      <c r="E1146" s="781">
        <f>+P890</f>
        <v>439.5</v>
      </c>
      <c r="F1146" s="730" t="s">
        <v>11</v>
      </c>
      <c r="G1146" s="777">
        <v>306</v>
      </c>
      <c r="H1146" s="609" t="s">
        <v>1063</v>
      </c>
      <c r="I1146" s="751">
        <f>+R890</f>
        <v>1.02</v>
      </c>
      <c r="J1146" s="751">
        <f>+S890</f>
        <v>1.0490196078431373</v>
      </c>
      <c r="K1146" s="405">
        <f t="shared" si="18"/>
        <v>143901.09</v>
      </c>
      <c r="L1146" s="20" t="s">
        <v>11</v>
      </c>
      <c r="M1146" s="1067"/>
      <c r="N1146" s="420"/>
      <c r="O1146"/>
      <c r="P1146" s="412"/>
      <c r="Q1146" s="391"/>
      <c r="T1146" s="393"/>
    </row>
    <row r="1147" spans="1:20" ht="30" customHeight="1" x14ac:dyDescent="0.25">
      <c r="A1147" s="20" t="s">
        <v>916</v>
      </c>
      <c r="B1147" s="402" t="s">
        <v>919</v>
      </c>
      <c r="C1147" s="403"/>
      <c r="D1147" s="404"/>
      <c r="E1147" s="781">
        <f>+P892</f>
        <v>316</v>
      </c>
      <c r="F1147" s="730" t="s">
        <v>11</v>
      </c>
      <c r="G1147" s="777">
        <v>306</v>
      </c>
      <c r="H1147" s="609" t="s">
        <v>1063</v>
      </c>
      <c r="I1147" s="751">
        <f>+R892</f>
        <v>1.02</v>
      </c>
      <c r="J1147" s="751">
        <f>+S892</f>
        <v>1.0490196078431373</v>
      </c>
      <c r="K1147" s="405">
        <f t="shared" si="18"/>
        <v>103464.72</v>
      </c>
      <c r="L1147" s="20" t="s">
        <v>11</v>
      </c>
      <c r="M1147" s="1067"/>
      <c r="N1147" s="420"/>
      <c r="O1147"/>
      <c r="P1147" s="412"/>
      <c r="Q1147" s="391"/>
      <c r="T1147" s="393"/>
    </row>
    <row r="1148" spans="1:20" ht="30" customHeight="1" x14ac:dyDescent="0.25">
      <c r="A1148" s="20" t="s">
        <v>849</v>
      </c>
      <c r="B1148" s="191" t="s">
        <v>1120</v>
      </c>
      <c r="C1148" s="191"/>
      <c r="D1148" s="191"/>
      <c r="E1148" s="781">
        <f>+P887</f>
        <v>10.805</v>
      </c>
      <c r="F1148" s="20" t="s">
        <v>9</v>
      </c>
      <c r="G1148" s="777">
        <f>80*468</f>
        <v>37440</v>
      </c>
      <c r="H1148" s="609" t="s">
        <v>1062</v>
      </c>
      <c r="I1148" s="751">
        <f>+R887</f>
        <v>1.04</v>
      </c>
      <c r="J1148" s="751">
        <f>+S887</f>
        <v>1.0490196078431373</v>
      </c>
      <c r="K1148" s="405">
        <f t="shared" si="18"/>
        <v>441344.33505882358</v>
      </c>
      <c r="L1148" s="20" t="s">
        <v>11</v>
      </c>
      <c r="N1148" s="420"/>
      <c r="O1148"/>
      <c r="P1148" s="412"/>
      <c r="Q1148" s="391"/>
      <c r="T1148" s="393"/>
    </row>
    <row r="1149" spans="1:20" ht="30" customHeight="1" x14ac:dyDescent="0.25">
      <c r="A1149" s="20" t="s">
        <v>780</v>
      </c>
      <c r="B1149" s="191" t="s">
        <v>1121</v>
      </c>
      <c r="C1149" s="191"/>
      <c r="D1149" s="191"/>
      <c r="E1149" s="781">
        <f>+P888</f>
        <v>17.95</v>
      </c>
      <c r="F1149" s="20" t="s">
        <v>9</v>
      </c>
      <c r="G1149" s="777">
        <f>2152*12</f>
        <v>25824</v>
      </c>
      <c r="H1149" s="609" t="s">
        <v>1062</v>
      </c>
      <c r="I1149" s="751">
        <f>+R888</f>
        <v>1.04</v>
      </c>
      <c r="J1149" s="751">
        <f>+S888</f>
        <v>1.0490196078431373</v>
      </c>
      <c r="K1149" s="405">
        <f t="shared" si="18"/>
        <v>505713.92376470595</v>
      </c>
      <c r="L1149" s="20" t="s">
        <v>11</v>
      </c>
      <c r="O1149"/>
      <c r="P1149" s="412"/>
      <c r="Q1149" s="391"/>
      <c r="T1149" s="393"/>
    </row>
    <row r="1150" spans="1:20" ht="30" customHeight="1" x14ac:dyDescent="0.25">
      <c r="A1150" s="20" t="s">
        <v>780</v>
      </c>
      <c r="B1150" s="191" t="s">
        <v>1122</v>
      </c>
      <c r="C1150" s="191"/>
      <c r="D1150" s="191"/>
      <c r="E1150" s="781">
        <f>+P888</f>
        <v>17.95</v>
      </c>
      <c r="F1150" s="20" t="s">
        <v>9</v>
      </c>
      <c r="G1150" s="839">
        <f>80.7*45</f>
        <v>3631.5</v>
      </c>
      <c r="H1150" s="609" t="s">
        <v>1062</v>
      </c>
      <c r="I1150" s="751">
        <f>+R888</f>
        <v>1.04</v>
      </c>
      <c r="J1150" s="751">
        <f>+S888</f>
        <v>1.0490196078431373</v>
      </c>
      <c r="K1150" s="405">
        <f t="shared" si="18"/>
        <v>71116.020529411777</v>
      </c>
      <c r="L1150" s="20" t="s">
        <v>11</v>
      </c>
      <c r="M1150" s="1067"/>
      <c r="N1150" s="420"/>
      <c r="O1150"/>
      <c r="P1150" s="412"/>
      <c r="Q1150" s="391"/>
      <c r="T1150" s="393"/>
    </row>
    <row r="1151" spans="1:20" ht="30" customHeight="1" x14ac:dyDescent="0.25">
      <c r="A1151" s="20" t="s">
        <v>916</v>
      </c>
      <c r="B1151" s="191" t="s">
        <v>953</v>
      </c>
      <c r="C1151" s="191"/>
      <c r="D1151" s="191"/>
      <c r="E1151" s="781">
        <f>+P891</f>
        <v>800</v>
      </c>
      <c r="F1151" s="730" t="s">
        <v>11</v>
      </c>
      <c r="G1151" s="777">
        <v>137</v>
      </c>
      <c r="H1151" s="609" t="s">
        <v>1063</v>
      </c>
      <c r="I1151" s="751">
        <f>+R891</f>
        <v>1.02</v>
      </c>
      <c r="J1151" s="751">
        <f>+S891</f>
        <v>1.0490196078431373</v>
      </c>
      <c r="K1151" s="405">
        <f t="shared" si="18"/>
        <v>117272</v>
      </c>
      <c r="L1151" s="20" t="s">
        <v>11</v>
      </c>
      <c r="M1151" s="1067"/>
      <c r="N1151" s="420"/>
      <c r="O1151"/>
      <c r="P1151" s="412"/>
      <c r="Q1151" s="391"/>
      <c r="T1151" s="393"/>
    </row>
    <row r="1152" spans="1:20" ht="30" customHeight="1" x14ac:dyDescent="0.25">
      <c r="A1152" s="20" t="s">
        <v>760</v>
      </c>
      <c r="B1152" s="191" t="s">
        <v>1123</v>
      </c>
      <c r="C1152" s="191"/>
      <c r="D1152" s="191"/>
      <c r="E1152" s="781">
        <f>+P898</f>
        <v>17.125</v>
      </c>
      <c r="F1152" s="730" t="s">
        <v>7</v>
      </c>
      <c r="G1152" s="777">
        <f>+((656*12)+(49*45))</f>
        <v>10077</v>
      </c>
      <c r="H1152" s="609" t="s">
        <v>1066</v>
      </c>
      <c r="I1152" s="751">
        <f>+R898</f>
        <v>1.02</v>
      </c>
      <c r="J1152" s="751">
        <f>+S898</f>
        <v>1.0490196078431373</v>
      </c>
      <c r="K1152" s="405">
        <f t="shared" si="18"/>
        <v>184648.42874999999</v>
      </c>
      <c r="L1152" s="20" t="s">
        <v>11</v>
      </c>
      <c r="M1152" s="1941"/>
      <c r="N1152" s="1967"/>
      <c r="O1152"/>
      <c r="P1152" s="412"/>
      <c r="Q1152" s="391"/>
      <c r="T1152" s="393"/>
    </row>
    <row r="1153" spans="1:20" ht="30" customHeight="1" x14ac:dyDescent="0.25">
      <c r="A1153" s="20" t="s">
        <v>760</v>
      </c>
      <c r="B1153" s="402" t="s">
        <v>1080</v>
      </c>
      <c r="C1153" s="403"/>
      <c r="D1153" s="404"/>
      <c r="E1153" s="781">
        <f>+P899</f>
        <v>2617.5</v>
      </c>
      <c r="F1153" s="730" t="s">
        <v>11</v>
      </c>
      <c r="G1153" s="777">
        <v>57</v>
      </c>
      <c r="H1153" s="609" t="s">
        <v>1063</v>
      </c>
      <c r="I1153" s="751">
        <f>+R899</f>
        <v>1.02</v>
      </c>
      <c r="J1153" s="751">
        <f>+S899</f>
        <v>1.0490196078431373</v>
      </c>
      <c r="K1153" s="405">
        <f t="shared" si="18"/>
        <v>159641.32500000001</v>
      </c>
      <c r="L1153" s="20" t="s">
        <v>11</v>
      </c>
      <c r="M1153" s="1940"/>
      <c r="N1153" s="1966"/>
      <c r="O1153"/>
      <c r="P1153" s="412"/>
      <c r="Q1153" s="391"/>
      <c r="T1153" s="393"/>
    </row>
    <row r="1154" spans="1:20" ht="30" customHeight="1" x14ac:dyDescent="0.25">
      <c r="A1154" s="20" t="s">
        <v>916</v>
      </c>
      <c r="B1154" s="402" t="s">
        <v>1004</v>
      </c>
      <c r="C1154" s="403"/>
      <c r="D1154" s="404"/>
      <c r="E1154" s="781">
        <f>+P894</f>
        <v>985</v>
      </c>
      <c r="F1154" s="730" t="s">
        <v>11</v>
      </c>
      <c r="G1154" s="777">
        <v>137</v>
      </c>
      <c r="H1154" s="609" t="s">
        <v>1063</v>
      </c>
      <c r="I1154" s="751">
        <f t="shared" ref="I1154:J1156" si="19">+R894</f>
        <v>1.02</v>
      </c>
      <c r="J1154" s="751">
        <f t="shared" si="19"/>
        <v>1.0490196078431373</v>
      </c>
      <c r="K1154" s="405">
        <f t="shared" si="18"/>
        <v>144391.15</v>
      </c>
      <c r="L1154" s="20" t="s">
        <v>11</v>
      </c>
      <c r="M1154" s="1067"/>
      <c r="N1154" s="420"/>
      <c r="O1154"/>
      <c r="P1154" s="412"/>
      <c r="Q1154" s="391"/>
      <c r="T1154" s="393"/>
    </row>
    <row r="1155" spans="1:20" ht="30" customHeight="1" x14ac:dyDescent="0.25">
      <c r="A1155" s="20" t="s">
        <v>920</v>
      </c>
      <c r="B1155" s="191" t="s">
        <v>1081</v>
      </c>
      <c r="C1155" s="191"/>
      <c r="D1155" s="191"/>
      <c r="E1155" s="781">
        <f>+P895</f>
        <v>137.85</v>
      </c>
      <c r="F1155" s="730" t="s">
        <v>11</v>
      </c>
      <c r="G1155" s="777">
        <v>1852</v>
      </c>
      <c r="H1155" s="609" t="s">
        <v>1063</v>
      </c>
      <c r="I1155" s="751">
        <f t="shared" si="19"/>
        <v>1.02</v>
      </c>
      <c r="J1155" s="751">
        <f t="shared" si="19"/>
        <v>1.0490196078431373</v>
      </c>
      <c r="K1155" s="405">
        <f t="shared" si="18"/>
        <v>273169.07400000002</v>
      </c>
      <c r="L1155" s="20" t="s">
        <v>11</v>
      </c>
      <c r="M1155" s="1067"/>
      <c r="N1155" s="420"/>
      <c r="O1155"/>
      <c r="P1155" s="412"/>
      <c r="Q1155" s="391"/>
      <c r="T1155" s="393"/>
    </row>
    <row r="1156" spans="1:20" ht="30" customHeight="1" x14ac:dyDescent="0.25">
      <c r="A1156" s="20" t="s">
        <v>922</v>
      </c>
      <c r="B1156" s="402" t="s">
        <v>1124</v>
      </c>
      <c r="C1156" s="403"/>
      <c r="D1156" s="404"/>
      <c r="E1156" s="781">
        <f>P896</f>
        <v>17.110000000000003</v>
      </c>
      <c r="F1156" s="730" t="s">
        <v>7</v>
      </c>
      <c r="G1156" s="777">
        <f>176233*6.5</f>
        <v>1145514.5</v>
      </c>
      <c r="H1156" s="609" t="s">
        <v>1066</v>
      </c>
      <c r="I1156" s="751">
        <f t="shared" si="19"/>
        <v>1.02</v>
      </c>
      <c r="J1156" s="751">
        <f t="shared" si="19"/>
        <v>1.0490196078431373</v>
      </c>
      <c r="K1156" s="405">
        <f t="shared" si="18"/>
        <v>20971735.811650004</v>
      </c>
      <c r="L1156" s="20" t="s">
        <v>11</v>
      </c>
      <c r="M1156" s="1940"/>
      <c r="N1156" s="1966"/>
      <c r="O1156"/>
      <c r="P1156" s="412"/>
      <c r="Q1156" s="391"/>
      <c r="T1156" s="393"/>
    </row>
    <row r="1157" spans="1:20" ht="30" customHeight="1" x14ac:dyDescent="0.25">
      <c r="A1157" s="20">
        <v>93410</v>
      </c>
      <c r="B1157" s="402" t="s">
        <v>1125</v>
      </c>
      <c r="C1157" s="403"/>
      <c r="D1157" s="404"/>
      <c r="E1157" s="594">
        <f>+P906</f>
        <v>1.1000000000000001</v>
      </c>
      <c r="F1157" s="730" t="s">
        <v>3</v>
      </c>
      <c r="G1157" s="777">
        <v>7464</v>
      </c>
      <c r="H1157" s="609" t="s">
        <v>1067</v>
      </c>
      <c r="I1157" s="818">
        <f>+R906</f>
        <v>0.9432470865927236</v>
      </c>
      <c r="J1157" s="20"/>
      <c r="K1157" s="405">
        <f>+E1157*G1157*I1157</f>
        <v>7744.4358797608993</v>
      </c>
      <c r="L1157" s="20" t="s">
        <v>11</v>
      </c>
      <c r="M1157" s="1067"/>
      <c r="N1157" s="420"/>
      <c r="O1157"/>
      <c r="P1157" s="412"/>
      <c r="Q1157" s="391"/>
      <c r="T1157" s="393"/>
    </row>
    <row r="1158" spans="1:20" ht="30" customHeight="1" x14ac:dyDescent="0.25">
      <c r="A1158" s="20" t="s">
        <v>849</v>
      </c>
      <c r="B1158" s="402" t="s">
        <v>1126</v>
      </c>
      <c r="C1158" s="403"/>
      <c r="D1158" s="404"/>
      <c r="E1158" s="781">
        <f>+P887</f>
        <v>10.805</v>
      </c>
      <c r="F1158" s="20" t="s">
        <v>9</v>
      </c>
      <c r="G1158" s="777">
        <f>481*30</f>
        <v>14430</v>
      </c>
      <c r="H1158" s="609" t="s">
        <v>1062</v>
      </c>
      <c r="I1158" s="751">
        <f>+R887</f>
        <v>1.04</v>
      </c>
      <c r="J1158" s="751">
        <f>+S887</f>
        <v>1.0490196078431373</v>
      </c>
      <c r="K1158" s="405">
        <f>+E1158*G1158*I1158*J1158</f>
        <v>170101.46247058825</v>
      </c>
      <c r="L1158" s="20" t="s">
        <v>11</v>
      </c>
      <c r="M1158" s="1067"/>
      <c r="N1158" s="420"/>
      <c r="O1158"/>
      <c r="P1158" s="412"/>
      <c r="Q1158" s="391"/>
      <c r="T1158" s="393"/>
    </row>
    <row r="1159" spans="1:20" ht="30" customHeight="1" x14ac:dyDescent="0.25">
      <c r="A1159" s="20">
        <v>93410</v>
      </c>
      <c r="B1159" s="402" t="s">
        <v>1127</v>
      </c>
      <c r="C1159" s="403"/>
      <c r="D1159" s="404"/>
      <c r="E1159" s="781">
        <f>+P905</f>
        <v>8</v>
      </c>
      <c r="F1159" s="730" t="s">
        <v>307</v>
      </c>
      <c r="G1159" s="777">
        <v>17139</v>
      </c>
      <c r="H1159" s="609" t="s">
        <v>1070</v>
      </c>
      <c r="I1159" s="818">
        <f>+R905</f>
        <v>0.9432470865927236</v>
      </c>
      <c r="J1159" s="20"/>
      <c r="K1159" s="405">
        <f>+E1159*G1159*I1159</f>
        <v>129330.49453690152</v>
      </c>
      <c r="L1159" s="20" t="s">
        <v>11</v>
      </c>
      <c r="M1159" s="1067"/>
      <c r="N1159" s="420"/>
      <c r="O1159"/>
      <c r="P1159" s="412"/>
      <c r="Q1159" s="391"/>
      <c r="T1159" s="393"/>
    </row>
    <row r="1160" spans="1:20" ht="30" customHeight="1" x14ac:dyDescent="0.25">
      <c r="A1160" s="20" t="s">
        <v>849</v>
      </c>
      <c r="B1160" s="402" t="s">
        <v>1128</v>
      </c>
      <c r="C1160" s="403"/>
      <c r="D1160" s="404"/>
      <c r="E1160" s="594">
        <f>+P886</f>
        <v>8.8450000000000006</v>
      </c>
      <c r="F1160" s="730" t="s">
        <v>9</v>
      </c>
      <c r="G1160" s="777">
        <f>4*144</f>
        <v>576</v>
      </c>
      <c r="H1160" s="609" t="s">
        <v>1062</v>
      </c>
      <c r="I1160" s="20">
        <f>+R886</f>
        <v>1.04</v>
      </c>
      <c r="J1160" s="751">
        <f>+S886</f>
        <v>1.0490196078431373</v>
      </c>
      <c r="K1160" s="405">
        <f>+E1160*G1160*I1160*J1160</f>
        <v>5558.2396235294127</v>
      </c>
      <c r="L1160" s="20" t="s">
        <v>11</v>
      </c>
      <c r="M1160" s="865"/>
      <c r="N1160" s="420"/>
      <c r="O1160"/>
      <c r="P1160" s="412"/>
      <c r="Q1160" s="391"/>
      <c r="T1160" s="393"/>
    </row>
    <row r="1161" spans="1:20" s="49" customFormat="1" ht="30" customHeight="1" x14ac:dyDescent="0.25">
      <c r="A1161" s="20">
        <v>93210</v>
      </c>
      <c r="B1161" s="402" t="s">
        <v>1129</v>
      </c>
      <c r="C1161" s="403"/>
      <c r="D1161" s="404"/>
      <c r="E1161" s="781">
        <f>+P907</f>
        <v>44.901000000000003</v>
      </c>
      <c r="F1161" s="730" t="s">
        <v>307</v>
      </c>
      <c r="G1161" s="777">
        <v>44650</v>
      </c>
      <c r="H1161" s="609" t="s">
        <v>1070</v>
      </c>
      <c r="I1161" s="818">
        <f>+R907</f>
        <v>0.9432470865927236</v>
      </c>
      <c r="J1161" s="20"/>
      <c r="K1161" s="405">
        <f>+E1161*G1161*I1161</f>
        <v>1891049.7264772099</v>
      </c>
      <c r="L1161" s="20" t="s">
        <v>11</v>
      </c>
      <c r="M1161" s="1897"/>
      <c r="N1161" s="420"/>
      <c r="P1161" s="412"/>
      <c r="Q1161" s="391"/>
      <c r="T1161" s="393"/>
    </row>
    <row r="1162" spans="1:20" ht="30" customHeight="1" x14ac:dyDescent="0.25">
      <c r="A1162" s="20" t="s">
        <v>942</v>
      </c>
      <c r="B1162" s="402" t="s">
        <v>1130</v>
      </c>
      <c r="C1162" s="403"/>
      <c r="D1162" s="404"/>
      <c r="E1162" s="594">
        <f>+P884</f>
        <v>18.05</v>
      </c>
      <c r="F1162" s="730" t="s">
        <v>9</v>
      </c>
      <c r="G1162" s="777">
        <v>4800</v>
      </c>
      <c r="H1162" s="609" t="s">
        <v>1062</v>
      </c>
      <c r="I1162" s="751">
        <f>+R884</f>
        <v>1.06</v>
      </c>
      <c r="J1162" s="751">
        <f>+S884</f>
        <v>1.0490196078431373</v>
      </c>
      <c r="K1162" s="405">
        <f>+E1162*G1162*I1162*J1162</f>
        <v>96340.282352941183</v>
      </c>
      <c r="L1162" s="20" t="s">
        <v>11</v>
      </c>
      <c r="O1162"/>
      <c r="P1162" s="412"/>
      <c r="Q1162" s="391"/>
      <c r="T1162" s="393"/>
    </row>
    <row r="1163" spans="1:20" ht="30" customHeight="1" x14ac:dyDescent="0.25">
      <c r="A1163" s="20"/>
      <c r="B1163" s="191"/>
      <c r="C1163" s="191"/>
      <c r="D1163" s="191"/>
      <c r="E1163" s="405"/>
      <c r="F1163" s="20"/>
      <c r="G1163" s="838"/>
      <c r="H1163" s="754"/>
      <c r="I1163" s="20"/>
      <c r="J1163" s="20" t="s">
        <v>646</v>
      </c>
      <c r="K1163" s="405">
        <f>SUM(K1145:K1162)</f>
        <v>25592417.644846816</v>
      </c>
      <c r="L1163" s="20" t="s">
        <v>11</v>
      </c>
      <c r="O1163"/>
      <c r="P1163" s="412"/>
      <c r="Q1163" s="391"/>
      <c r="T1163" s="393"/>
    </row>
    <row r="1164" spans="1:20" ht="30" customHeight="1" x14ac:dyDescent="0.25">
      <c r="A1164" s="20"/>
      <c r="B1164" s="20"/>
      <c r="C1164" s="18"/>
      <c r="D1164" s="18"/>
      <c r="E1164" s="18"/>
      <c r="F1164" s="18"/>
      <c r="G1164" s="18"/>
      <c r="H1164" s="18"/>
      <c r="I1164" s="18"/>
      <c r="J1164" s="20" t="s">
        <v>358</v>
      </c>
      <c r="K1164" s="23">
        <f>+K1163</f>
        <v>25592417.644846816</v>
      </c>
      <c r="L1164" s="20" t="s">
        <v>11</v>
      </c>
      <c r="M1164" s="1067"/>
      <c r="N1164" s="420"/>
      <c r="O1164"/>
      <c r="P1164" s="412"/>
      <c r="Q1164" s="391"/>
      <c r="T1164" s="393"/>
    </row>
    <row r="1165" spans="1:20" ht="30" customHeight="1" x14ac:dyDescent="0.25">
      <c r="A1165" s="20"/>
      <c r="B1165" s="20"/>
      <c r="C1165" s="18"/>
      <c r="D1165" s="18"/>
      <c r="E1165" s="18"/>
      <c r="F1165" s="18"/>
      <c r="G1165" s="445" t="s">
        <v>537</v>
      </c>
      <c r="H1165" s="13"/>
      <c r="I1165" s="13"/>
      <c r="J1165" s="361">
        <f>VLOOKUP(B1142,'Mil Cost Premiums for RUCs'!$A$4:$R$265,18,FALSE)</f>
        <v>1.0821211439999998</v>
      </c>
      <c r="K1165" s="14">
        <f>+K1164*J1165</f>
        <v>27694096.259567417</v>
      </c>
      <c r="L1165" s="20" t="s">
        <v>11</v>
      </c>
      <c r="M1165" s="1067"/>
      <c r="N1165" s="420"/>
      <c r="O1165"/>
      <c r="P1165" s="412"/>
      <c r="Q1165" s="391"/>
      <c r="T1165" s="393"/>
    </row>
    <row r="1166" spans="1:20" ht="75" customHeight="1" x14ac:dyDescent="0.25">
      <c r="A1166" s="580" t="s">
        <v>538</v>
      </c>
      <c r="B1166" s="532"/>
      <c r="C1166" s="532"/>
      <c r="D1166" s="532"/>
      <c r="E1166" s="532"/>
      <c r="F1166" s="532"/>
      <c r="G1166" s="532"/>
      <c r="H1166" s="532"/>
      <c r="I1166" s="532"/>
      <c r="J1166" s="532"/>
      <c r="K1166" s="532"/>
      <c r="L1166" s="533"/>
      <c r="M1166" s="1067"/>
      <c r="N1166" s="420"/>
      <c r="O1166"/>
      <c r="P1166" s="412"/>
      <c r="Q1166" s="391"/>
      <c r="T1166" s="393"/>
    </row>
    <row r="1167" spans="1:20" ht="77.25" customHeight="1" x14ac:dyDescent="0.25">
      <c r="A1167" s="866" t="s">
        <v>539</v>
      </c>
      <c r="B1167" s="867"/>
      <c r="C1167" s="868"/>
      <c r="D1167" s="386" t="s">
        <v>1131</v>
      </c>
      <c r="E1167" s="849"/>
      <c r="F1167" s="849"/>
      <c r="G1167" s="849"/>
      <c r="H1167" s="849"/>
      <c r="I1167" s="849"/>
      <c r="J1167" s="849"/>
      <c r="K1167" s="849"/>
      <c r="L1167" s="850"/>
      <c r="M1167" s="1067"/>
      <c r="N1167" s="420"/>
      <c r="O1167"/>
      <c r="P1167" s="412"/>
      <c r="Q1167" s="391"/>
      <c r="T1167" s="393"/>
    </row>
    <row r="1168" spans="1:20" ht="30" customHeight="1" x14ac:dyDescent="0.25">
      <c r="A1168" s="866" t="s">
        <v>541</v>
      </c>
      <c r="B1168" s="867"/>
      <c r="C1168" s="868"/>
      <c r="D1168" s="386" t="s">
        <v>1132</v>
      </c>
      <c r="E1168" s="849"/>
      <c r="F1168" s="849"/>
      <c r="G1168" s="849"/>
      <c r="H1168" s="849"/>
      <c r="I1168" s="849"/>
      <c r="J1168" s="849"/>
      <c r="K1168" s="849"/>
      <c r="L1168" s="850"/>
      <c r="M1168" s="1067"/>
      <c r="N1168" s="420"/>
      <c r="O1168"/>
      <c r="P1168" s="412"/>
      <c r="Q1168" s="391"/>
      <c r="T1168" s="393"/>
    </row>
    <row r="1169" spans="1:20" ht="30" customHeight="1" x14ac:dyDescent="0.25">
      <c r="A1169" s="866" t="s">
        <v>543</v>
      </c>
      <c r="B1169" s="867"/>
      <c r="C1169" s="868"/>
      <c r="D1169" s="386" t="s">
        <v>1133</v>
      </c>
      <c r="E1169" s="849"/>
      <c r="F1169" s="849"/>
      <c r="G1169" s="849"/>
      <c r="H1169" s="849"/>
      <c r="I1169" s="849"/>
      <c r="J1169" s="849"/>
      <c r="K1169" s="849"/>
      <c r="L1169" s="850"/>
      <c r="M1169" s="1067"/>
      <c r="N1169" s="420"/>
      <c r="O1169"/>
      <c r="P1169" s="412"/>
      <c r="Q1169" s="391"/>
      <c r="T1169" s="393"/>
    </row>
    <row r="1170" spans="1:20" ht="45" customHeight="1" x14ac:dyDescent="0.25">
      <c r="A1170" s="866" t="s">
        <v>546</v>
      </c>
      <c r="B1170" s="867"/>
      <c r="C1170" s="868"/>
      <c r="D1170" s="386" t="s">
        <v>1134</v>
      </c>
      <c r="E1170" s="849"/>
      <c r="F1170" s="849"/>
      <c r="G1170" s="849"/>
      <c r="H1170" s="849"/>
      <c r="I1170" s="849"/>
      <c r="J1170" s="849"/>
      <c r="K1170" s="849"/>
      <c r="L1170" s="850"/>
      <c r="O1170"/>
      <c r="P1170" s="412"/>
      <c r="Q1170" s="391"/>
      <c r="T1170" s="393"/>
    </row>
    <row r="1171" spans="1:20" ht="30" customHeight="1" x14ac:dyDescent="0.25">
      <c r="A1171" s="866" t="s">
        <v>548</v>
      </c>
      <c r="B1171" s="867"/>
      <c r="C1171" s="868"/>
      <c r="D1171" s="386" t="s">
        <v>1028</v>
      </c>
      <c r="E1171" s="849"/>
      <c r="F1171" s="849"/>
      <c r="G1171" s="849"/>
      <c r="H1171" s="849"/>
      <c r="I1171" s="849"/>
      <c r="J1171" s="849"/>
      <c r="K1171" s="849"/>
      <c r="L1171" s="850"/>
      <c r="O1171"/>
      <c r="P1171" s="412"/>
      <c r="Q1171" s="391"/>
      <c r="T1171" s="393"/>
    </row>
    <row r="1172" spans="1:20" ht="30" customHeight="1" x14ac:dyDescent="0.25">
      <c r="A1172" s="866" t="s">
        <v>550</v>
      </c>
      <c r="B1172" s="867"/>
      <c r="C1172" s="868"/>
      <c r="D1172" s="386" t="s">
        <v>1029</v>
      </c>
      <c r="E1172" s="849"/>
      <c r="F1172" s="849"/>
      <c r="G1172" s="849"/>
      <c r="H1172" s="849"/>
      <c r="I1172" s="849"/>
      <c r="J1172" s="849"/>
      <c r="K1172" s="849"/>
      <c r="L1172" s="850"/>
      <c r="M1172" s="1067"/>
      <c r="N1172" s="420"/>
      <c r="O1172"/>
      <c r="P1172" s="412"/>
      <c r="Q1172" s="391"/>
      <c r="T1172" s="393"/>
    </row>
    <row r="1173" spans="1:20" ht="30" customHeight="1" x14ac:dyDescent="0.25">
      <c r="A1173" s="866" t="s">
        <v>552</v>
      </c>
      <c r="B1173" s="867"/>
      <c r="C1173" s="868"/>
      <c r="D1173" s="563" t="s">
        <v>1030</v>
      </c>
      <c r="E1173" s="383"/>
      <c r="F1173" s="383"/>
      <c r="G1173" s="383"/>
      <c r="H1173" s="383"/>
      <c r="I1173" s="383"/>
      <c r="J1173" s="383"/>
      <c r="K1173" s="383"/>
      <c r="L1173" s="384"/>
      <c r="M1173" s="1067"/>
      <c r="N1173" s="420"/>
      <c r="O1173"/>
      <c r="P1173" s="412"/>
      <c r="Q1173" s="391"/>
      <c r="T1173" s="393"/>
    </row>
    <row r="1174" spans="1:20" ht="60" customHeight="1" x14ac:dyDescent="0.25">
      <c r="A1174" s="866" t="s">
        <v>802</v>
      </c>
      <c r="B1174" s="867"/>
      <c r="C1174" s="868"/>
      <c r="D1174" s="851" t="s">
        <v>1032</v>
      </c>
      <c r="E1174" s="852"/>
      <c r="F1174" s="852"/>
      <c r="G1174" s="852"/>
      <c r="H1174" s="852"/>
      <c r="I1174" s="852"/>
      <c r="J1174" s="852"/>
      <c r="K1174" s="852"/>
      <c r="L1174" s="853"/>
      <c r="O1174"/>
      <c r="P1174" s="412"/>
      <c r="Q1174" s="391"/>
      <c r="T1174" s="393"/>
    </row>
    <row r="1175" spans="1:20" ht="30" customHeight="1" thickBot="1" x14ac:dyDescent="0.3">
      <c r="A1175" s="563" t="s">
        <v>556</v>
      </c>
      <c r="B1175" s="383"/>
      <c r="C1175" s="384"/>
      <c r="D1175" s="580" t="s">
        <v>1135</v>
      </c>
      <c r="E1175" s="532"/>
      <c r="F1175" s="532"/>
      <c r="G1175" s="532"/>
      <c r="H1175" s="532"/>
      <c r="I1175" s="532"/>
      <c r="J1175" s="532"/>
      <c r="K1175" s="532"/>
      <c r="L1175" s="533"/>
      <c r="M1175" s="1067"/>
      <c r="N1175" s="420"/>
      <c r="O1175"/>
      <c r="P1175" s="412"/>
      <c r="Q1175" s="391"/>
      <c r="T1175" s="393"/>
    </row>
    <row r="1176" spans="1:20" ht="30" customHeight="1" thickBot="1" x14ac:dyDescent="0.3">
      <c r="A1176" s="76"/>
      <c r="B1176" s="77"/>
      <c r="C1176" s="77"/>
      <c r="D1176" s="77"/>
      <c r="E1176" s="77"/>
      <c r="F1176" s="77"/>
      <c r="G1176" s="77"/>
      <c r="H1176" s="77"/>
      <c r="I1176" s="77"/>
      <c r="J1176" s="77"/>
      <c r="K1176" s="77"/>
      <c r="L1176" s="78"/>
      <c r="M1176" s="1067"/>
      <c r="N1176" s="420"/>
      <c r="O1176"/>
      <c r="P1176" s="412"/>
      <c r="Q1176" s="391"/>
      <c r="T1176" s="393"/>
    </row>
    <row r="1177" spans="1:20" ht="75" customHeight="1" x14ac:dyDescent="0.25">
      <c r="A1177" s="30" t="s">
        <v>288</v>
      </c>
      <c r="B1177" s="208">
        <v>1773</v>
      </c>
      <c r="C1177" s="209" t="s">
        <v>1136</v>
      </c>
      <c r="D1177" s="210"/>
      <c r="E1177" s="177" t="s">
        <v>291</v>
      </c>
      <c r="F1177" s="178" t="s">
        <v>50</v>
      </c>
      <c r="G1177" s="465" t="s">
        <v>1137</v>
      </c>
      <c r="H1177" s="388">
        <v>4</v>
      </c>
      <c r="I1177" s="177" t="s">
        <v>292</v>
      </c>
      <c r="J1177" s="38" t="s">
        <v>3384</v>
      </c>
      <c r="K1177" s="38"/>
      <c r="L1177" s="389"/>
      <c r="M1177" s="1067"/>
      <c r="N1177" s="420"/>
      <c r="O1177"/>
      <c r="P1177" s="412"/>
      <c r="Q1177" s="391"/>
      <c r="T1177" s="393"/>
    </row>
    <row r="1178" spans="1:20" ht="30" customHeight="1" x14ac:dyDescent="0.25">
      <c r="A1178" s="44" t="s">
        <v>913</v>
      </c>
      <c r="B1178" s="394" t="s">
        <v>560</v>
      </c>
      <c r="C1178" s="395"/>
      <c r="D1178" s="396"/>
      <c r="E1178" s="397" t="s">
        <v>519</v>
      </c>
      <c r="F1178" s="397" t="s">
        <v>561</v>
      </c>
      <c r="G1178" s="398" t="s">
        <v>562</v>
      </c>
      <c r="H1178" s="399"/>
      <c r="I1178" s="181" t="s">
        <v>530</v>
      </c>
      <c r="J1178" s="675" t="s">
        <v>533</v>
      </c>
      <c r="K1178" s="507" t="s">
        <v>521</v>
      </c>
      <c r="L1178" s="508"/>
      <c r="M1178" s="1067"/>
      <c r="N1178" s="420"/>
      <c r="O1178"/>
      <c r="P1178" s="412"/>
      <c r="Q1178" s="391"/>
      <c r="T1178" s="393"/>
    </row>
    <row r="1179" spans="1:20" ht="30" customHeight="1" x14ac:dyDescent="0.25">
      <c r="A1179" s="44"/>
      <c r="B1179" s="503" t="s">
        <v>1138</v>
      </c>
      <c r="C1179" s="504"/>
      <c r="D1179" s="505"/>
      <c r="E1179" s="397"/>
      <c r="F1179" s="397"/>
      <c r="G1179" s="774"/>
      <c r="H1179" s="775"/>
      <c r="I1179" s="599"/>
      <c r="J1179" s="211"/>
      <c r="K1179" s="793"/>
      <c r="L1179" s="793"/>
      <c r="M1179" s="1067"/>
      <c r="N1179" s="420"/>
      <c r="O1179"/>
      <c r="P1179" s="412"/>
      <c r="Q1179" s="391"/>
      <c r="T1179" s="393"/>
    </row>
    <row r="1180" spans="1:20" ht="30" customHeight="1" x14ac:dyDescent="0.25">
      <c r="A1180" s="61" t="s">
        <v>849</v>
      </c>
      <c r="B1180" s="402" t="s">
        <v>1139</v>
      </c>
      <c r="C1180" s="403"/>
      <c r="D1180" s="404"/>
      <c r="E1180" s="781">
        <f>+P886</f>
        <v>8.8450000000000006</v>
      </c>
      <c r="F1180" s="20" t="s">
        <v>9</v>
      </c>
      <c r="G1180" s="794">
        <f>6*62</f>
        <v>372</v>
      </c>
      <c r="H1180" s="609" t="s">
        <v>1020</v>
      </c>
      <c r="I1180" s="751">
        <f>+R886</f>
        <v>1.04</v>
      </c>
      <c r="J1180" s="751">
        <f>+S886</f>
        <v>1.0490196078431373</v>
      </c>
      <c r="K1180" s="530">
        <f>+E1180*G1180*I1180*J1180</f>
        <v>3589.6964235294122</v>
      </c>
      <c r="L1180" s="61" t="s">
        <v>50</v>
      </c>
      <c r="M1180" s="1067"/>
      <c r="N1180" s="420"/>
      <c r="O1180"/>
      <c r="P1180" s="412"/>
      <c r="Q1180" s="391"/>
      <c r="T1180" s="393"/>
    </row>
    <row r="1181" spans="1:20" ht="30" customHeight="1" x14ac:dyDescent="0.25">
      <c r="A1181" s="61" t="s">
        <v>916</v>
      </c>
      <c r="B1181" s="402" t="s">
        <v>917</v>
      </c>
      <c r="C1181" s="403"/>
      <c r="D1181" s="404"/>
      <c r="E1181" s="781">
        <f>+P890</f>
        <v>439.5</v>
      </c>
      <c r="F1181" s="730" t="s">
        <v>11</v>
      </c>
      <c r="G1181" s="794">
        <v>6</v>
      </c>
      <c r="H1181" s="609" t="s">
        <v>1050</v>
      </c>
      <c r="I1181" s="751">
        <f>+R890</f>
        <v>1.02</v>
      </c>
      <c r="J1181" s="751">
        <f>+S890</f>
        <v>1.0490196078431373</v>
      </c>
      <c r="K1181" s="530">
        <f>+E1181*G1181*I1181*J1181</f>
        <v>2821.5900000000006</v>
      </c>
      <c r="L1181" s="61" t="s">
        <v>50</v>
      </c>
      <c r="M1181" s="1067"/>
      <c r="N1181" s="420"/>
      <c r="O1181"/>
      <c r="P1181" s="412"/>
      <c r="Q1181" s="391"/>
      <c r="T1181" s="393"/>
    </row>
    <row r="1182" spans="1:20" ht="30" customHeight="1" x14ac:dyDescent="0.25">
      <c r="A1182" s="61" t="s">
        <v>916</v>
      </c>
      <c r="B1182" s="402" t="s">
        <v>919</v>
      </c>
      <c r="C1182" s="403"/>
      <c r="D1182" s="404"/>
      <c r="E1182" s="781">
        <f>+P892</f>
        <v>316</v>
      </c>
      <c r="F1182" s="730" t="s">
        <v>11</v>
      </c>
      <c r="G1182" s="794">
        <v>6</v>
      </c>
      <c r="H1182" s="609" t="s">
        <v>1050</v>
      </c>
      <c r="I1182" s="751">
        <f>+R892</f>
        <v>1.02</v>
      </c>
      <c r="J1182" s="751">
        <f>+S892</f>
        <v>1.0490196078431373</v>
      </c>
      <c r="K1182" s="530">
        <f>+E1182*G1182*I1182*J1182</f>
        <v>2028.7200000000003</v>
      </c>
      <c r="L1182" s="61" t="s">
        <v>50</v>
      </c>
      <c r="M1182" s="1067"/>
      <c r="N1182" s="420"/>
      <c r="O1182"/>
      <c r="P1182" s="412"/>
      <c r="Q1182" s="391"/>
      <c r="T1182" s="393"/>
    </row>
    <row r="1183" spans="1:20" ht="30" customHeight="1" x14ac:dyDescent="0.25">
      <c r="A1183" s="61" t="s">
        <v>920</v>
      </c>
      <c r="B1183" s="191" t="s">
        <v>1140</v>
      </c>
      <c r="C1183" s="191"/>
      <c r="D1183" s="191"/>
      <c r="E1183" s="781">
        <f>+P895</f>
        <v>137.85</v>
      </c>
      <c r="F1183" s="730" t="s">
        <v>11</v>
      </c>
      <c r="G1183" s="794">
        <v>24</v>
      </c>
      <c r="H1183" s="609" t="s">
        <v>1050</v>
      </c>
      <c r="I1183" s="751">
        <f>+R895</f>
        <v>1.02</v>
      </c>
      <c r="J1183" s="751">
        <f>+S895</f>
        <v>1.0490196078431373</v>
      </c>
      <c r="K1183" s="530">
        <f>+E1183*G1183*I1183*J1183</f>
        <v>3539.9879999999998</v>
      </c>
      <c r="L1183" s="61" t="s">
        <v>50</v>
      </c>
      <c r="M1183" s="1067"/>
      <c r="N1183" s="420"/>
      <c r="O1183"/>
      <c r="P1183" s="412"/>
      <c r="Q1183" s="391"/>
      <c r="T1183" s="393"/>
    </row>
    <row r="1184" spans="1:20" ht="30" customHeight="1" x14ac:dyDescent="0.25">
      <c r="A1184" s="61" t="s">
        <v>922</v>
      </c>
      <c r="B1184" s="402" t="s">
        <v>1141</v>
      </c>
      <c r="C1184" s="403"/>
      <c r="D1184" s="404"/>
      <c r="E1184" s="781">
        <f>+P896</f>
        <v>17.110000000000003</v>
      </c>
      <c r="F1184" s="730" t="s">
        <v>7</v>
      </c>
      <c r="G1184" s="777">
        <f>346*6</f>
        <v>2076</v>
      </c>
      <c r="H1184" s="609" t="s">
        <v>1052</v>
      </c>
      <c r="I1184" s="751">
        <f>+R896</f>
        <v>1.02</v>
      </c>
      <c r="J1184" s="751">
        <f>+S896</f>
        <v>1.0490196078431373</v>
      </c>
      <c r="K1184" s="530">
        <f>+E1184*G1184*I1184*J1184</f>
        <v>38006.785200000013</v>
      </c>
      <c r="L1184" s="61" t="s">
        <v>50</v>
      </c>
      <c r="M1184" s="1067"/>
      <c r="N1184" s="420"/>
      <c r="O1184"/>
      <c r="P1184" s="412"/>
      <c r="Q1184" s="391"/>
      <c r="T1184" s="393"/>
    </row>
    <row r="1185" spans="1:20" ht="30" customHeight="1" x14ac:dyDescent="0.25">
      <c r="A1185" s="61">
        <v>93410</v>
      </c>
      <c r="B1185" s="402" t="s">
        <v>1142</v>
      </c>
      <c r="C1185" s="403"/>
      <c r="D1185" s="404"/>
      <c r="E1185" s="781">
        <f>+P905</f>
        <v>8</v>
      </c>
      <c r="F1185" s="730" t="s">
        <v>307</v>
      </c>
      <c r="G1185" s="777">
        <f>2354*2</f>
        <v>4708</v>
      </c>
      <c r="H1185" s="609" t="s">
        <v>1022</v>
      </c>
      <c r="I1185" s="821">
        <f>+R905</f>
        <v>0.9432470865927236</v>
      </c>
      <c r="J1185" s="20"/>
      <c r="K1185" s="530">
        <f>+E1185*G1185*I1185</f>
        <v>35526.458269428345</v>
      </c>
      <c r="L1185" s="61" t="s">
        <v>50</v>
      </c>
      <c r="M1185" s="869"/>
      <c r="N1185" s="420"/>
      <c r="O1185"/>
      <c r="P1185" s="412"/>
      <c r="Q1185" s="391"/>
      <c r="T1185" s="393"/>
    </row>
    <row r="1186" spans="1:20" ht="30" customHeight="1" x14ac:dyDescent="0.25">
      <c r="A1186" s="61">
        <v>93210</v>
      </c>
      <c r="B1186" s="236" t="s">
        <v>1143</v>
      </c>
      <c r="C1186" s="237"/>
      <c r="D1186" s="238"/>
      <c r="E1186" s="781"/>
      <c r="F1186" s="644" t="s">
        <v>307</v>
      </c>
      <c r="G1186" s="870">
        <v>39</v>
      </c>
      <c r="H1186" s="609" t="s">
        <v>1022</v>
      </c>
      <c r="I1186" s="821">
        <f>+R907</f>
        <v>0.9432470865927236</v>
      </c>
      <c r="J1186" s="20"/>
      <c r="K1186" s="530">
        <f>+E1186*G1186*I1186</f>
        <v>0</v>
      </c>
      <c r="L1186" s="61" t="s">
        <v>50</v>
      </c>
      <c r="M1186" s="1067"/>
      <c r="N1186" s="420"/>
      <c r="O1186"/>
      <c r="P1186" s="412"/>
      <c r="Q1186" s="391"/>
      <c r="T1186" s="393"/>
    </row>
    <row r="1187" spans="1:20" ht="30" customHeight="1" x14ac:dyDescent="0.25">
      <c r="A1187" s="61"/>
      <c r="B1187" s="192"/>
      <c r="C1187" s="192"/>
      <c r="D1187" s="192"/>
      <c r="E1187" s="530"/>
      <c r="F1187" s="61"/>
      <c r="G1187" s="838"/>
      <c r="H1187" s="754"/>
      <c r="I1187" s="20"/>
      <c r="J1187" s="20" t="s">
        <v>646</v>
      </c>
      <c r="K1187" s="530">
        <f>SUM(K1180:K1186)</f>
        <v>85513.237892957768</v>
      </c>
      <c r="L1187" s="61" t="s">
        <v>50</v>
      </c>
      <c r="M1187" s="1902"/>
      <c r="N1187" s="420"/>
      <c r="O1187"/>
      <c r="P1187" s="412"/>
      <c r="Q1187" s="391"/>
      <c r="T1187" s="393"/>
    </row>
    <row r="1188" spans="1:20" ht="30" customHeight="1" thickBot="1" x14ac:dyDescent="0.3">
      <c r="A1188" s="61"/>
      <c r="B1188" s="61"/>
      <c r="C1188" s="63"/>
      <c r="D1188" s="63"/>
      <c r="E1188" s="63"/>
      <c r="F1188" s="63"/>
      <c r="G1188" s="413" t="s">
        <v>537</v>
      </c>
      <c r="H1188" s="18"/>
      <c r="I1188" s="18"/>
      <c r="J1188" s="361">
        <f>VLOOKUP(B1177,'Mil Cost Premiums for RUCs'!$A$4:$R$265,18,FALSE)</f>
        <v>1.0485669999999998</v>
      </c>
      <c r="K1188" s="21">
        <f>+K1187*J1188</f>
        <v>89666.359317705035</v>
      </c>
      <c r="L1188" s="61" t="s">
        <v>50</v>
      </c>
      <c r="M1188" s="1067"/>
      <c r="N1188" s="420"/>
      <c r="O1188"/>
      <c r="P1188" s="412"/>
      <c r="Q1188" s="391"/>
      <c r="T1188" s="393"/>
    </row>
    <row r="1189" spans="1:20" ht="30" customHeight="1" thickBot="1" x14ac:dyDescent="0.3">
      <c r="A1189" s="76"/>
      <c r="B1189" s="77"/>
      <c r="C1189" s="77"/>
      <c r="D1189" s="77"/>
      <c r="E1189" s="77"/>
      <c r="F1189" s="77"/>
      <c r="G1189" s="77"/>
      <c r="H1189" s="77"/>
      <c r="I1189" s="77"/>
      <c r="J1189" s="77"/>
      <c r="K1189" s="77"/>
      <c r="L1189" s="78"/>
      <c r="M1189" s="1067"/>
      <c r="N1189" s="420"/>
      <c r="O1189"/>
      <c r="P1189" s="412"/>
      <c r="Q1189" s="391"/>
      <c r="T1189" s="393"/>
    </row>
    <row r="1190" spans="1:20" ht="75" customHeight="1" x14ac:dyDescent="0.25">
      <c r="A1190" s="30" t="s">
        <v>288</v>
      </c>
      <c r="B1190" s="31">
        <v>1774</v>
      </c>
      <c r="C1190" s="161" t="s">
        <v>1144</v>
      </c>
      <c r="D1190" s="162"/>
      <c r="E1190" s="36" t="s">
        <v>291</v>
      </c>
      <c r="F1190" s="37" t="s">
        <v>11</v>
      </c>
      <c r="G1190" s="163" t="s">
        <v>1145</v>
      </c>
      <c r="H1190" s="487">
        <v>1</v>
      </c>
      <c r="I1190" s="36" t="s">
        <v>292</v>
      </c>
      <c r="J1190" s="38" t="s">
        <v>3385</v>
      </c>
      <c r="K1190" s="38"/>
      <c r="L1190" s="389"/>
      <c r="M1190" s="1067"/>
      <c r="N1190" s="420"/>
      <c r="O1190"/>
      <c r="P1190" s="412"/>
      <c r="Q1190" s="391"/>
      <c r="T1190" s="393"/>
    </row>
    <row r="1191" spans="1:20" ht="30" customHeight="1" x14ac:dyDescent="0.25">
      <c r="A1191" s="44" t="s">
        <v>913</v>
      </c>
      <c r="B1191" s="490" t="s">
        <v>560</v>
      </c>
      <c r="C1191" s="491"/>
      <c r="D1191" s="492"/>
      <c r="E1191" s="793" t="s">
        <v>519</v>
      </c>
      <c r="F1191" s="793" t="s">
        <v>561</v>
      </c>
      <c r="G1191" s="626" t="s">
        <v>562</v>
      </c>
      <c r="H1191" s="627"/>
      <c r="I1191" s="181" t="s">
        <v>530</v>
      </c>
      <c r="J1191" s="675" t="s">
        <v>533</v>
      </c>
      <c r="K1191" s="507" t="s">
        <v>521</v>
      </c>
      <c r="L1191" s="508"/>
      <c r="M1191" s="1067"/>
      <c r="N1191" s="420"/>
      <c r="O1191"/>
      <c r="P1191" s="412"/>
      <c r="Q1191" s="391"/>
      <c r="T1191" s="393"/>
    </row>
    <row r="1192" spans="1:20" ht="30" customHeight="1" x14ac:dyDescent="0.25">
      <c r="A1192" s="44"/>
      <c r="B1192" s="716" t="s">
        <v>1146</v>
      </c>
      <c r="C1192" s="717"/>
      <c r="D1192" s="718"/>
      <c r="E1192" s="793"/>
      <c r="F1192" s="793"/>
      <c r="G1192" s="835"/>
      <c r="H1192" s="836"/>
      <c r="I1192" s="211"/>
      <c r="J1192" s="211"/>
      <c r="K1192" s="793"/>
      <c r="L1192" s="793"/>
      <c r="M1192" s="1067"/>
      <c r="N1192" s="420"/>
      <c r="O1192"/>
      <c r="P1192" s="412"/>
      <c r="Q1192" s="391"/>
      <c r="T1192" s="393"/>
    </row>
    <row r="1193" spans="1:20" ht="30" customHeight="1" x14ac:dyDescent="0.25">
      <c r="A1193" s="61" t="s">
        <v>849</v>
      </c>
      <c r="B1193" s="236" t="s">
        <v>1147</v>
      </c>
      <c r="C1193" s="237"/>
      <c r="D1193" s="238"/>
      <c r="E1193" s="781">
        <f>+P886</f>
        <v>8.8450000000000006</v>
      </c>
      <c r="F1193" s="61" t="s">
        <v>9</v>
      </c>
      <c r="G1193" s="777">
        <f>31*62</f>
        <v>1922</v>
      </c>
      <c r="H1193" s="634" t="s">
        <v>1062</v>
      </c>
      <c r="I1193" s="751">
        <f>+R886</f>
        <v>1.04</v>
      </c>
      <c r="J1193" s="751">
        <f>+S886</f>
        <v>1.0490196078431373</v>
      </c>
      <c r="K1193" s="530">
        <f t="shared" ref="K1193:K1198" si="20">+E1193*G1193*I1193*J1193</f>
        <v>18546.764854901961</v>
      </c>
      <c r="L1193" s="61" t="s">
        <v>11</v>
      </c>
      <c r="M1193" s="1067"/>
      <c r="N1193" s="420"/>
      <c r="O1193"/>
      <c r="P1193" s="412"/>
      <c r="Q1193" s="391"/>
      <c r="T1193" s="393"/>
    </row>
    <row r="1194" spans="1:20" ht="30" customHeight="1" x14ac:dyDescent="0.25">
      <c r="A1194" s="61" t="s">
        <v>916</v>
      </c>
      <c r="B1194" s="236" t="s">
        <v>917</v>
      </c>
      <c r="C1194" s="237"/>
      <c r="D1194" s="238"/>
      <c r="E1194" s="781">
        <f>+P890</f>
        <v>439.5</v>
      </c>
      <c r="F1194" s="644" t="s">
        <v>11</v>
      </c>
      <c r="G1194" s="794">
        <v>31</v>
      </c>
      <c r="H1194" s="634" t="s">
        <v>1063</v>
      </c>
      <c r="I1194" s="751">
        <f>+R890</f>
        <v>1.02</v>
      </c>
      <c r="J1194" s="751">
        <f>+S890</f>
        <v>1.0490196078431373</v>
      </c>
      <c r="K1194" s="530">
        <f t="shared" si="20"/>
        <v>14578.215</v>
      </c>
      <c r="L1194" s="61" t="s">
        <v>11</v>
      </c>
      <c r="M1194" s="1067"/>
      <c r="N1194" s="420"/>
      <c r="O1194"/>
      <c r="P1194" s="412"/>
      <c r="Q1194" s="391"/>
      <c r="T1194" s="393"/>
    </row>
    <row r="1195" spans="1:20" ht="30" customHeight="1" x14ac:dyDescent="0.25">
      <c r="A1195" s="61" t="s">
        <v>916</v>
      </c>
      <c r="B1195" s="236" t="s">
        <v>919</v>
      </c>
      <c r="C1195" s="237"/>
      <c r="D1195" s="238"/>
      <c r="E1195" s="781">
        <f>+P892</f>
        <v>316</v>
      </c>
      <c r="F1195" s="644" t="s">
        <v>11</v>
      </c>
      <c r="G1195" s="794">
        <v>31</v>
      </c>
      <c r="H1195" s="634" t="s">
        <v>1063</v>
      </c>
      <c r="I1195" s="751">
        <f>+R892</f>
        <v>1.02</v>
      </c>
      <c r="J1195" s="751">
        <f>+S892</f>
        <v>1.0490196078431373</v>
      </c>
      <c r="K1195" s="530">
        <f t="shared" si="20"/>
        <v>10481.720000000001</v>
      </c>
      <c r="L1195" s="61" t="s">
        <v>11</v>
      </c>
      <c r="M1195" s="1067"/>
      <c r="N1195" s="420"/>
      <c r="O1195"/>
      <c r="P1195" s="412"/>
      <c r="Q1195" s="391"/>
      <c r="T1195" s="393"/>
    </row>
    <row r="1196" spans="1:20" s="49" customFormat="1" ht="30" customHeight="1" x14ac:dyDescent="0.25">
      <c r="A1196" s="61" t="s">
        <v>920</v>
      </c>
      <c r="B1196" s="192" t="s">
        <v>1140</v>
      </c>
      <c r="C1196" s="192"/>
      <c r="D1196" s="192"/>
      <c r="E1196" s="781">
        <f>+P895</f>
        <v>137.85</v>
      </c>
      <c r="F1196" s="644" t="s">
        <v>11</v>
      </c>
      <c r="G1196" s="794">
        <f>31*4</f>
        <v>124</v>
      </c>
      <c r="H1196" s="634" t="s">
        <v>1063</v>
      </c>
      <c r="I1196" s="751">
        <f>+R895</f>
        <v>1.02</v>
      </c>
      <c r="J1196" s="751">
        <f>+S895</f>
        <v>1.0490196078431373</v>
      </c>
      <c r="K1196" s="530">
        <f t="shared" si="20"/>
        <v>18289.937999999998</v>
      </c>
      <c r="L1196" s="61" t="s">
        <v>11</v>
      </c>
      <c r="M1196" s="1897"/>
      <c r="N1196" s="420"/>
      <c r="P1196" s="412"/>
      <c r="Q1196" s="391"/>
      <c r="T1196" s="393"/>
    </row>
    <row r="1197" spans="1:20" ht="30" customHeight="1" x14ac:dyDescent="0.25">
      <c r="A1197" s="61" t="s">
        <v>922</v>
      </c>
      <c r="B1197" s="236" t="s">
        <v>969</v>
      </c>
      <c r="C1197" s="237"/>
      <c r="D1197" s="238"/>
      <c r="E1197" s="781">
        <f>+P896</f>
        <v>17.110000000000003</v>
      </c>
      <c r="F1197" s="644" t="s">
        <v>7</v>
      </c>
      <c r="G1197" s="777">
        <v>8152</v>
      </c>
      <c r="H1197" s="634" t="s">
        <v>1066</v>
      </c>
      <c r="I1197" s="751">
        <f>+R896</f>
        <v>1.02</v>
      </c>
      <c r="J1197" s="751">
        <f>+S896</f>
        <v>1.0490196078431373</v>
      </c>
      <c r="K1197" s="530">
        <f t="shared" si="20"/>
        <v>149244.37040000004</v>
      </c>
      <c r="L1197" s="61" t="s">
        <v>11</v>
      </c>
      <c r="M1197" s="857"/>
      <c r="N1197" s="858"/>
      <c r="O1197"/>
      <c r="P1197" s="412"/>
      <c r="Q1197" s="391"/>
      <c r="T1197" s="393"/>
    </row>
    <row r="1198" spans="1:20" ht="30" customHeight="1" x14ac:dyDescent="0.25">
      <c r="A1198" s="61" t="s">
        <v>849</v>
      </c>
      <c r="B1198" s="236" t="s">
        <v>1148</v>
      </c>
      <c r="C1198" s="237"/>
      <c r="D1198" s="238"/>
      <c r="E1198" s="594">
        <f>+P886</f>
        <v>8.8450000000000006</v>
      </c>
      <c r="F1198" s="644" t="s">
        <v>9</v>
      </c>
      <c r="G1198" s="794">
        <f>5*104</f>
        <v>520</v>
      </c>
      <c r="H1198" s="634" t="s">
        <v>1063</v>
      </c>
      <c r="I1198" s="751">
        <f>+R886</f>
        <v>1.04</v>
      </c>
      <c r="J1198" s="751">
        <f>+S886</f>
        <v>1.0490196078431373</v>
      </c>
      <c r="K1198" s="530">
        <f t="shared" si="20"/>
        <v>5017.8552156862761</v>
      </c>
      <c r="L1198" s="61" t="s">
        <v>11</v>
      </c>
      <c r="M1198" s="857"/>
      <c r="N1198" s="858"/>
      <c r="O1198"/>
      <c r="P1198" s="412"/>
      <c r="Q1198" s="391"/>
      <c r="T1198" s="393"/>
    </row>
    <row r="1199" spans="1:20" ht="30" customHeight="1" x14ac:dyDescent="0.25">
      <c r="A1199" s="61">
        <v>93410</v>
      </c>
      <c r="B1199" s="236" t="s">
        <v>1149</v>
      </c>
      <c r="C1199" s="237"/>
      <c r="D1199" s="238"/>
      <c r="E1199" s="781">
        <f>+P905</f>
        <v>8</v>
      </c>
      <c r="F1199" s="644" t="s">
        <v>307</v>
      </c>
      <c r="G1199" s="837">
        <v>785</v>
      </c>
      <c r="H1199" s="634" t="s">
        <v>927</v>
      </c>
      <c r="I1199" s="818">
        <f>+R905</f>
        <v>0.9432470865927236</v>
      </c>
      <c r="J1199" s="20"/>
      <c r="K1199" s="530">
        <f>+E1199*G1199*I1199</f>
        <v>5923.5917038023044</v>
      </c>
      <c r="L1199" s="61" t="s">
        <v>11</v>
      </c>
      <c r="M1199" s="1067"/>
      <c r="N1199" s="420"/>
      <c r="O1199"/>
      <c r="P1199" s="412"/>
      <c r="Q1199" s="391"/>
      <c r="T1199" s="393"/>
    </row>
    <row r="1200" spans="1:20" ht="30" customHeight="1" x14ac:dyDescent="0.25">
      <c r="A1200" s="61">
        <v>93210</v>
      </c>
      <c r="B1200" s="236" t="s">
        <v>1150</v>
      </c>
      <c r="C1200" s="237"/>
      <c r="D1200" s="238"/>
      <c r="E1200" s="781">
        <f>+P907</f>
        <v>44.901000000000003</v>
      </c>
      <c r="F1200" s="644" t="s">
        <v>307</v>
      </c>
      <c r="G1200" s="837">
        <v>353</v>
      </c>
      <c r="H1200" s="634" t="s">
        <v>927</v>
      </c>
      <c r="I1200" s="821">
        <f>+R907</f>
        <v>0.9432470865927236</v>
      </c>
      <c r="J1200" s="20"/>
      <c r="K1200" s="530">
        <f>+E1200*G1200*I1200</f>
        <v>14950.516314590261</v>
      </c>
      <c r="L1200" s="61" t="s">
        <v>11</v>
      </c>
      <c r="M1200" s="1067"/>
      <c r="N1200" s="420"/>
      <c r="O1200"/>
      <c r="P1200" s="412"/>
      <c r="Q1200" s="391"/>
      <c r="T1200" s="393"/>
    </row>
    <row r="1201" spans="1:20" ht="30" customHeight="1" x14ac:dyDescent="0.25">
      <c r="A1201" s="61"/>
      <c r="B1201" s="192"/>
      <c r="C1201" s="192"/>
      <c r="D1201" s="192"/>
      <c r="E1201" s="530"/>
      <c r="F1201" s="61"/>
      <c r="G1201" s="817"/>
      <c r="H1201" s="646"/>
      <c r="I1201" s="20"/>
      <c r="J1201" s="20" t="s">
        <v>646</v>
      </c>
      <c r="K1201" s="530">
        <f>SUM(K1193:K1200)</f>
        <v>237032.97148898087</v>
      </c>
      <c r="L1201" s="61" t="s">
        <v>11</v>
      </c>
      <c r="M1201" s="1067"/>
      <c r="N1201" s="420"/>
      <c r="O1201"/>
      <c r="P1201" s="412"/>
      <c r="Q1201" s="391"/>
      <c r="T1201" s="393"/>
    </row>
    <row r="1202" spans="1:20" ht="30" customHeight="1" thickBot="1" x14ac:dyDescent="0.3">
      <c r="A1202" s="61"/>
      <c r="B1202" s="61"/>
      <c r="C1202" s="63"/>
      <c r="D1202" s="63"/>
      <c r="E1202" s="63"/>
      <c r="F1202" s="63"/>
      <c r="G1202" s="445" t="s">
        <v>537</v>
      </c>
      <c r="H1202" s="63"/>
      <c r="I1202" s="18"/>
      <c r="J1202" s="361">
        <f>VLOOKUP(B1190,'Mil Cost Premiums for RUCs'!$A$4:$R$265,18,FALSE)</f>
        <v>1.0485669999999998</v>
      </c>
      <c r="K1202" s="21">
        <f>+K1201*J1202</f>
        <v>248544.95181528616</v>
      </c>
      <c r="L1202" s="61" t="s">
        <v>11</v>
      </c>
      <c r="M1202" s="1067"/>
      <c r="N1202" s="420"/>
      <c r="O1202"/>
      <c r="P1202" s="412"/>
      <c r="Q1202" s="391"/>
      <c r="T1202" s="393"/>
    </row>
    <row r="1203" spans="1:20" ht="30" customHeight="1" thickBot="1" x14ac:dyDescent="0.3">
      <c r="A1203" s="76"/>
      <c r="B1203" s="77"/>
      <c r="C1203" s="77"/>
      <c r="D1203" s="77"/>
      <c r="E1203" s="77"/>
      <c r="F1203" s="77"/>
      <c r="G1203" s="77"/>
      <c r="H1203" s="77"/>
      <c r="I1203" s="77"/>
      <c r="J1203" s="77"/>
      <c r="K1203" s="77"/>
      <c r="L1203" s="78"/>
      <c r="M1203" s="1067"/>
      <c r="N1203" s="420"/>
      <c r="O1203"/>
      <c r="P1203" s="412"/>
      <c r="Q1203" s="391"/>
      <c r="T1203" s="393"/>
    </row>
    <row r="1204" spans="1:20" ht="75" customHeight="1" x14ac:dyDescent="0.25">
      <c r="A1204" s="30" t="s">
        <v>288</v>
      </c>
      <c r="B1204" s="31">
        <v>1775</v>
      </c>
      <c r="C1204" s="863" t="s">
        <v>1151</v>
      </c>
      <c r="D1204" s="864"/>
      <c r="E1204" s="36" t="s">
        <v>291</v>
      </c>
      <c r="F1204" s="37" t="s">
        <v>11</v>
      </c>
      <c r="G1204" s="163" t="s">
        <v>1152</v>
      </c>
      <c r="H1204" s="487">
        <v>1</v>
      </c>
      <c r="I1204" s="36" t="s">
        <v>292</v>
      </c>
      <c r="J1204" s="38" t="s">
        <v>3385</v>
      </c>
      <c r="K1204" s="38"/>
      <c r="L1204" s="389"/>
      <c r="M1204" s="1067"/>
      <c r="N1204" s="420"/>
      <c r="O1204"/>
      <c r="P1204" s="412"/>
      <c r="Q1204" s="391"/>
      <c r="T1204" s="393"/>
    </row>
    <row r="1205" spans="1:20" ht="30" customHeight="1" x14ac:dyDescent="0.25">
      <c r="A1205" s="44" t="s">
        <v>913</v>
      </c>
      <c r="B1205" s="490" t="s">
        <v>560</v>
      </c>
      <c r="C1205" s="491"/>
      <c r="D1205" s="492"/>
      <c r="E1205" s="397" t="s">
        <v>519</v>
      </c>
      <c r="F1205" s="397" t="s">
        <v>561</v>
      </c>
      <c r="G1205" s="398" t="s">
        <v>562</v>
      </c>
      <c r="H1205" s="399"/>
      <c r="I1205" s="181" t="s">
        <v>530</v>
      </c>
      <c r="J1205" s="400" t="s">
        <v>533</v>
      </c>
      <c r="K1205" s="507" t="s">
        <v>521</v>
      </c>
      <c r="L1205" s="508"/>
      <c r="M1205" s="1067"/>
      <c r="N1205" s="420"/>
      <c r="O1205"/>
      <c r="P1205" s="412"/>
      <c r="Q1205" s="391"/>
      <c r="T1205" s="393"/>
    </row>
    <row r="1206" spans="1:20" ht="30" customHeight="1" x14ac:dyDescent="0.25">
      <c r="A1206" s="44"/>
      <c r="B1206" s="716" t="s">
        <v>1153</v>
      </c>
      <c r="C1206" s="717"/>
      <c r="D1206" s="718"/>
      <c r="E1206" s="397"/>
      <c r="F1206" s="397"/>
      <c r="G1206" s="774"/>
      <c r="H1206" s="775"/>
      <c r="I1206" s="599"/>
      <c r="J1206" s="599"/>
      <c r="K1206" s="793"/>
      <c r="L1206" s="793"/>
      <c r="M1206" s="1067"/>
      <c r="N1206" s="420"/>
      <c r="O1206"/>
      <c r="P1206" s="412"/>
      <c r="Q1206" s="391"/>
      <c r="T1206" s="393"/>
    </row>
    <row r="1207" spans="1:20" ht="30" customHeight="1" x14ac:dyDescent="0.25">
      <c r="A1207" s="61" t="s">
        <v>849</v>
      </c>
      <c r="B1207" s="236" t="s">
        <v>1154</v>
      </c>
      <c r="C1207" s="237"/>
      <c r="D1207" s="238"/>
      <c r="E1207" s="781">
        <f>+P886</f>
        <v>8.8450000000000006</v>
      </c>
      <c r="F1207" s="20" t="s">
        <v>9</v>
      </c>
      <c r="G1207" s="777">
        <f>20*62</f>
        <v>1240</v>
      </c>
      <c r="H1207" s="609" t="s">
        <v>1062</v>
      </c>
      <c r="I1207" s="751">
        <f>+R886</f>
        <v>1.04</v>
      </c>
      <c r="J1207" s="751">
        <f>+S886</f>
        <v>1.0490196078431373</v>
      </c>
      <c r="K1207" s="530">
        <f t="shared" ref="K1207:K1218" si="21">+E1207*G1207*I1207*J1207</f>
        <v>11965.65474509804</v>
      </c>
      <c r="L1207" s="61" t="s">
        <v>11</v>
      </c>
      <c r="M1207" s="1067"/>
      <c r="N1207" s="420"/>
      <c r="O1207"/>
      <c r="P1207" s="412"/>
      <c r="Q1207" s="391"/>
      <c r="T1207" s="393"/>
    </row>
    <row r="1208" spans="1:20" ht="30" customHeight="1" x14ac:dyDescent="0.25">
      <c r="A1208" s="61" t="s">
        <v>916</v>
      </c>
      <c r="B1208" s="236" t="s">
        <v>917</v>
      </c>
      <c r="C1208" s="237"/>
      <c r="D1208" s="238"/>
      <c r="E1208" s="781">
        <f>+P890</f>
        <v>439.5</v>
      </c>
      <c r="F1208" s="730" t="s">
        <v>11</v>
      </c>
      <c r="G1208" s="777">
        <v>20</v>
      </c>
      <c r="H1208" s="609" t="s">
        <v>1063</v>
      </c>
      <c r="I1208" s="751">
        <f>+R890</f>
        <v>1.02</v>
      </c>
      <c r="J1208" s="751">
        <f>+S890</f>
        <v>1.0490196078431373</v>
      </c>
      <c r="K1208" s="530">
        <f t="shared" si="21"/>
        <v>9405.2999999999993</v>
      </c>
      <c r="L1208" s="61" t="s">
        <v>11</v>
      </c>
      <c r="M1208" s="1067"/>
      <c r="N1208" s="420"/>
      <c r="O1208"/>
      <c r="P1208" s="412"/>
      <c r="Q1208" s="391"/>
      <c r="T1208" s="393"/>
    </row>
    <row r="1209" spans="1:20" s="49" customFormat="1" ht="30" customHeight="1" x14ac:dyDescent="0.25">
      <c r="A1209" s="61" t="s">
        <v>916</v>
      </c>
      <c r="B1209" s="192" t="s">
        <v>919</v>
      </c>
      <c r="C1209" s="192"/>
      <c r="D1209" s="192"/>
      <c r="E1209" s="781">
        <f>+P892</f>
        <v>316</v>
      </c>
      <c r="F1209" s="730" t="s">
        <v>11</v>
      </c>
      <c r="G1209" s="777">
        <v>20</v>
      </c>
      <c r="H1209" s="609" t="s">
        <v>1063</v>
      </c>
      <c r="I1209" s="751">
        <f>+R892</f>
        <v>1.02</v>
      </c>
      <c r="J1209" s="751">
        <f>+S892</f>
        <v>1.0490196078431373</v>
      </c>
      <c r="K1209" s="530">
        <f t="shared" si="21"/>
        <v>6762.4000000000005</v>
      </c>
      <c r="L1209" s="61" t="s">
        <v>11</v>
      </c>
      <c r="M1209" s="1897"/>
      <c r="N1209" s="420"/>
      <c r="P1209" s="412"/>
      <c r="Q1209" s="391"/>
      <c r="T1209" s="393"/>
    </row>
    <row r="1210" spans="1:20" ht="30" customHeight="1" x14ac:dyDescent="0.25">
      <c r="A1210" s="61" t="s">
        <v>849</v>
      </c>
      <c r="B1210" s="192" t="s">
        <v>1155</v>
      </c>
      <c r="C1210" s="192"/>
      <c r="D1210" s="192"/>
      <c r="E1210" s="781">
        <f>+P887</f>
        <v>10.805</v>
      </c>
      <c r="F1210" s="20" t="s">
        <v>9</v>
      </c>
      <c r="G1210" s="777">
        <f>6*468</f>
        <v>2808</v>
      </c>
      <c r="H1210" s="609" t="s">
        <v>1062</v>
      </c>
      <c r="I1210" s="751">
        <f>+R887</f>
        <v>1.04</v>
      </c>
      <c r="J1210" s="751">
        <f>+S887</f>
        <v>1.0490196078431373</v>
      </c>
      <c r="K1210" s="530">
        <f t="shared" si="21"/>
        <v>33100.825129411765</v>
      </c>
      <c r="L1210" s="61" t="s">
        <v>11</v>
      </c>
      <c r="M1210" s="1067"/>
      <c r="N1210" s="420"/>
      <c r="O1210"/>
      <c r="P1210" s="412"/>
      <c r="Q1210" s="391"/>
      <c r="T1210" s="393"/>
    </row>
    <row r="1211" spans="1:20" ht="30" customHeight="1" x14ac:dyDescent="0.25">
      <c r="A1211" s="61" t="s">
        <v>780</v>
      </c>
      <c r="B1211" s="192" t="s">
        <v>1156</v>
      </c>
      <c r="C1211" s="192"/>
      <c r="D1211" s="192"/>
      <c r="E1211" s="781">
        <f>+P888</f>
        <v>17.95</v>
      </c>
      <c r="F1211" s="20" t="s">
        <v>9</v>
      </c>
      <c r="G1211" s="777">
        <f>2152*1</f>
        <v>2152</v>
      </c>
      <c r="H1211" s="609" t="s">
        <v>1062</v>
      </c>
      <c r="I1211" s="751">
        <f>+R888</f>
        <v>1.04</v>
      </c>
      <c r="J1211" s="751">
        <f>+S888</f>
        <v>1.0490196078431373</v>
      </c>
      <c r="K1211" s="530">
        <f t="shared" si="21"/>
        <v>42142.826980392158</v>
      </c>
      <c r="L1211" s="61" t="s">
        <v>11</v>
      </c>
      <c r="M1211" s="1067"/>
      <c r="N1211" s="420"/>
      <c r="O1211"/>
      <c r="P1211" s="412"/>
      <c r="Q1211" s="391"/>
      <c r="T1211" s="393"/>
    </row>
    <row r="1212" spans="1:20" ht="30" customHeight="1" x14ac:dyDescent="0.25">
      <c r="A1212" s="61" t="s">
        <v>780</v>
      </c>
      <c r="B1212" s="192" t="s">
        <v>1157</v>
      </c>
      <c r="C1212" s="192"/>
      <c r="D1212" s="192"/>
      <c r="E1212" s="781">
        <f>+P888</f>
        <v>17.95</v>
      </c>
      <c r="F1212" s="20" t="s">
        <v>9</v>
      </c>
      <c r="G1212" s="777">
        <f>80.7*6</f>
        <v>484.20000000000005</v>
      </c>
      <c r="H1212" s="609" t="s">
        <v>1062</v>
      </c>
      <c r="I1212" s="751">
        <f>+R888</f>
        <v>1.04</v>
      </c>
      <c r="J1212" s="751">
        <f>+S888</f>
        <v>1.0490196078431373</v>
      </c>
      <c r="K1212" s="530">
        <f t="shared" si="21"/>
        <v>9482.1360705882362</v>
      </c>
      <c r="L1212" s="61" t="s">
        <v>11</v>
      </c>
      <c r="M1212" s="1067"/>
      <c r="N1212" s="420"/>
      <c r="O1212"/>
      <c r="P1212" s="412"/>
      <c r="Q1212" s="391"/>
      <c r="T1212" s="393"/>
    </row>
    <row r="1213" spans="1:20" ht="30" customHeight="1" x14ac:dyDescent="0.25">
      <c r="A1213" s="61" t="s">
        <v>916</v>
      </c>
      <c r="B1213" s="192" t="s">
        <v>953</v>
      </c>
      <c r="C1213" s="192"/>
      <c r="D1213" s="192"/>
      <c r="E1213" s="781">
        <f>+P891</f>
        <v>800</v>
      </c>
      <c r="F1213" s="730" t="s">
        <v>11</v>
      </c>
      <c r="G1213" s="777">
        <v>13</v>
      </c>
      <c r="H1213" s="609" t="s">
        <v>1063</v>
      </c>
      <c r="I1213" s="751">
        <f>+R891</f>
        <v>1.02</v>
      </c>
      <c r="J1213" s="751">
        <f>+S891</f>
        <v>1.0490196078431373</v>
      </c>
      <c r="K1213" s="530">
        <f t="shared" si="21"/>
        <v>11128</v>
      </c>
      <c r="L1213" s="61" t="s">
        <v>11</v>
      </c>
      <c r="M1213" s="1067"/>
      <c r="N1213" s="420"/>
      <c r="O1213"/>
      <c r="P1213" s="412"/>
      <c r="Q1213" s="391"/>
      <c r="T1213" s="393"/>
    </row>
    <row r="1214" spans="1:20" ht="30" customHeight="1" x14ac:dyDescent="0.25">
      <c r="A1214" s="61" t="s">
        <v>760</v>
      </c>
      <c r="B1214" s="192" t="s">
        <v>1158</v>
      </c>
      <c r="C1214" s="192"/>
      <c r="D1214" s="192"/>
      <c r="E1214" s="781">
        <f>+P898</f>
        <v>17.125</v>
      </c>
      <c r="F1214" s="730" t="s">
        <v>7</v>
      </c>
      <c r="G1214" s="777">
        <f>+((656*1)+(49*6))</f>
        <v>950</v>
      </c>
      <c r="H1214" s="609" t="s">
        <v>1066</v>
      </c>
      <c r="I1214" s="751">
        <f>+R898</f>
        <v>1.02</v>
      </c>
      <c r="J1214" s="751">
        <f>+S898</f>
        <v>1.0490196078431373</v>
      </c>
      <c r="K1214" s="530">
        <f t="shared" si="21"/>
        <v>17407.5625</v>
      </c>
      <c r="L1214" s="61" t="s">
        <v>11</v>
      </c>
      <c r="M1214" s="1067"/>
      <c r="N1214" s="420"/>
      <c r="O1214"/>
      <c r="P1214" s="412"/>
      <c r="Q1214" s="391"/>
      <c r="T1214" s="393"/>
    </row>
    <row r="1215" spans="1:20" ht="30" customHeight="1" x14ac:dyDescent="0.25">
      <c r="A1215" s="61" t="s">
        <v>760</v>
      </c>
      <c r="B1215" s="236" t="s">
        <v>1080</v>
      </c>
      <c r="C1215" s="237"/>
      <c r="D1215" s="238"/>
      <c r="E1215" s="781">
        <f>+P899</f>
        <v>2617.5</v>
      </c>
      <c r="F1215" s="730" t="s">
        <v>11</v>
      </c>
      <c r="G1215" s="777">
        <v>7</v>
      </c>
      <c r="H1215" s="609" t="s">
        <v>1063</v>
      </c>
      <c r="I1215" s="751">
        <f>+R899</f>
        <v>1.02</v>
      </c>
      <c r="J1215" s="751">
        <f>+S899</f>
        <v>1.0490196078431373</v>
      </c>
      <c r="K1215" s="530">
        <f t="shared" si="21"/>
        <v>19605.075000000001</v>
      </c>
      <c r="L1215" s="61" t="s">
        <v>11</v>
      </c>
      <c r="O1215"/>
      <c r="P1215" s="412"/>
      <c r="Q1215" s="391"/>
      <c r="T1215" s="393"/>
    </row>
    <row r="1216" spans="1:20" ht="30" customHeight="1" x14ac:dyDescent="0.25">
      <c r="A1216" s="61" t="s">
        <v>916</v>
      </c>
      <c r="B1216" s="236" t="s">
        <v>1004</v>
      </c>
      <c r="C1216" s="237"/>
      <c r="D1216" s="238"/>
      <c r="E1216" s="781">
        <f>+P894</f>
        <v>985</v>
      </c>
      <c r="F1216" s="730" t="s">
        <v>11</v>
      </c>
      <c r="G1216" s="777">
        <v>13</v>
      </c>
      <c r="H1216" s="609" t="s">
        <v>1063</v>
      </c>
      <c r="I1216" s="751">
        <f t="shared" ref="I1216:J1218" si="22">+R894</f>
        <v>1.02</v>
      </c>
      <c r="J1216" s="751">
        <f t="shared" si="22"/>
        <v>1.0490196078431373</v>
      </c>
      <c r="K1216" s="530">
        <f t="shared" si="21"/>
        <v>13701.35</v>
      </c>
      <c r="L1216" s="61" t="s">
        <v>11</v>
      </c>
      <c r="M1216" s="1067"/>
      <c r="N1216" s="420"/>
      <c r="O1216"/>
      <c r="P1216" s="412"/>
      <c r="Q1216" s="391"/>
      <c r="T1216" s="393"/>
    </row>
    <row r="1217" spans="1:20" ht="30" customHeight="1" x14ac:dyDescent="0.25">
      <c r="A1217" s="61" t="s">
        <v>920</v>
      </c>
      <c r="B1217" s="192" t="s">
        <v>1081</v>
      </c>
      <c r="C1217" s="192"/>
      <c r="D1217" s="192"/>
      <c r="E1217" s="781">
        <f>+P895</f>
        <v>137.85</v>
      </c>
      <c r="F1217" s="730" t="s">
        <v>11</v>
      </c>
      <c r="G1217" s="777">
        <f>(5*6)+(4*27)</f>
        <v>138</v>
      </c>
      <c r="H1217" s="609" t="s">
        <v>1063</v>
      </c>
      <c r="I1217" s="751">
        <f t="shared" si="22"/>
        <v>1.02</v>
      </c>
      <c r="J1217" s="751">
        <f t="shared" si="22"/>
        <v>1.0490196078431373</v>
      </c>
      <c r="K1217" s="530">
        <f t="shared" si="21"/>
        <v>20354.931</v>
      </c>
      <c r="L1217" s="61" t="s">
        <v>11</v>
      </c>
      <c r="M1217" s="1067"/>
      <c r="N1217" s="420"/>
      <c r="O1217"/>
      <c r="P1217" s="412"/>
      <c r="Q1217" s="391"/>
      <c r="T1217" s="393"/>
    </row>
    <row r="1218" spans="1:20" ht="30" customHeight="1" x14ac:dyDescent="0.25">
      <c r="A1218" s="61" t="s">
        <v>922</v>
      </c>
      <c r="B1218" s="236" t="s">
        <v>1082</v>
      </c>
      <c r="C1218" s="237"/>
      <c r="D1218" s="238"/>
      <c r="E1218" s="781">
        <f>+P896</f>
        <v>17.110000000000003</v>
      </c>
      <c r="F1218" s="644" t="s">
        <v>7</v>
      </c>
      <c r="G1218" s="777">
        <f>3280*34</f>
        <v>111520</v>
      </c>
      <c r="H1218" s="634" t="s">
        <v>1066</v>
      </c>
      <c r="I1218" s="751">
        <f t="shared" si="22"/>
        <v>1.02</v>
      </c>
      <c r="J1218" s="751">
        <f t="shared" si="22"/>
        <v>1.0490196078431373</v>
      </c>
      <c r="K1218" s="530">
        <f t="shared" si="21"/>
        <v>2041674.7040000006</v>
      </c>
      <c r="L1218" s="61" t="s">
        <v>11</v>
      </c>
      <c r="M1218" s="857"/>
      <c r="N1218" s="858"/>
      <c r="O1218"/>
      <c r="P1218" s="412"/>
      <c r="Q1218" s="391"/>
      <c r="T1218" s="393"/>
    </row>
    <row r="1219" spans="1:20" ht="30" customHeight="1" x14ac:dyDescent="0.25">
      <c r="A1219" s="61">
        <v>93410</v>
      </c>
      <c r="B1219" s="236" t="s">
        <v>1159</v>
      </c>
      <c r="C1219" s="237"/>
      <c r="D1219" s="238"/>
      <c r="E1219" s="594">
        <f>+P906</f>
        <v>1.1000000000000001</v>
      </c>
      <c r="F1219" s="644" t="s">
        <v>3</v>
      </c>
      <c r="G1219" s="777">
        <v>2392</v>
      </c>
      <c r="H1219" s="634" t="s">
        <v>1067</v>
      </c>
      <c r="I1219" s="821">
        <f>+R906</f>
        <v>0.9432470865927236</v>
      </c>
      <c r="J1219" s="20"/>
      <c r="K1219" s="530">
        <f>+E1219*G1219*I1219</f>
        <v>2481.8717342427744</v>
      </c>
      <c r="L1219" s="61" t="s">
        <v>11</v>
      </c>
      <c r="M1219" s="857"/>
      <c r="N1219" s="858"/>
      <c r="O1219"/>
      <c r="P1219" s="412"/>
      <c r="Q1219" s="391"/>
      <c r="T1219" s="393"/>
    </row>
    <row r="1220" spans="1:20" ht="30" customHeight="1" x14ac:dyDescent="0.25">
      <c r="A1220" s="61">
        <v>93210</v>
      </c>
      <c r="B1220" s="236" t="s">
        <v>1160</v>
      </c>
      <c r="C1220" s="237"/>
      <c r="D1220" s="238"/>
      <c r="E1220" s="781">
        <f>+P907</f>
        <v>44.901000000000003</v>
      </c>
      <c r="F1220" s="644" t="s">
        <v>307</v>
      </c>
      <c r="G1220" s="777">
        <v>9225</v>
      </c>
      <c r="H1220" s="634" t="s">
        <v>1070</v>
      </c>
      <c r="I1220" s="818">
        <f>+R907</f>
        <v>0.9432470865927236</v>
      </c>
      <c r="J1220" s="20"/>
      <c r="K1220" s="530">
        <f>+E1220*G1220*I1220</f>
        <v>390704.00283879647</v>
      </c>
      <c r="L1220" s="61" t="s">
        <v>11</v>
      </c>
      <c r="M1220" s="1067"/>
      <c r="N1220" s="420"/>
      <c r="O1220"/>
      <c r="P1220" s="412"/>
      <c r="Q1220" s="391"/>
      <c r="T1220" s="393"/>
    </row>
    <row r="1221" spans="1:20" ht="30" customHeight="1" x14ac:dyDescent="0.25">
      <c r="A1221" s="61" t="s">
        <v>849</v>
      </c>
      <c r="B1221" s="236" t="s">
        <v>1161</v>
      </c>
      <c r="C1221" s="237"/>
      <c r="D1221" s="238"/>
      <c r="E1221" s="594">
        <f>+P886</f>
        <v>8.8450000000000006</v>
      </c>
      <c r="F1221" s="644" t="s">
        <v>9</v>
      </c>
      <c r="G1221" s="777">
        <f>5*144</f>
        <v>720</v>
      </c>
      <c r="H1221" s="634" t="s">
        <v>1062</v>
      </c>
      <c r="I1221" s="20">
        <f>+R886</f>
        <v>1.04</v>
      </c>
      <c r="J1221" s="751">
        <f>+S886</f>
        <v>1.0490196078431373</v>
      </c>
      <c r="K1221" s="530">
        <f>+E1221*G1221*I1221*J1221</f>
        <v>6947.7995294117654</v>
      </c>
      <c r="L1221" s="61" t="s">
        <v>11</v>
      </c>
      <c r="M1221" s="1067"/>
      <c r="N1221" s="420"/>
      <c r="O1221"/>
      <c r="P1221" s="412"/>
      <c r="Q1221" s="391"/>
      <c r="T1221" s="393"/>
    </row>
    <row r="1222" spans="1:20" ht="30" customHeight="1" x14ac:dyDescent="0.25">
      <c r="A1222" s="61"/>
      <c r="B1222" s="192"/>
      <c r="C1222" s="192"/>
      <c r="D1222" s="192"/>
      <c r="E1222" s="530"/>
      <c r="F1222" s="61"/>
      <c r="G1222" s="817"/>
      <c r="H1222" s="646"/>
      <c r="I1222" s="20"/>
      <c r="J1222" s="20" t="s">
        <v>646</v>
      </c>
      <c r="K1222" s="530">
        <f>SUM(K1207:K1221)</f>
        <v>2636864.4395279419</v>
      </c>
      <c r="L1222" s="61" t="s">
        <v>11</v>
      </c>
      <c r="M1222" s="1067"/>
      <c r="N1222" s="420"/>
      <c r="O1222"/>
      <c r="P1222" s="412"/>
      <c r="Q1222" s="391"/>
      <c r="T1222" s="393"/>
    </row>
    <row r="1223" spans="1:20" s="49" customFormat="1" ht="30" customHeight="1" thickBot="1" x14ac:dyDescent="0.3">
      <c r="A1223" s="61"/>
      <c r="B1223" s="61"/>
      <c r="C1223" s="63"/>
      <c r="D1223" s="63"/>
      <c r="E1223" s="63"/>
      <c r="F1223" s="63"/>
      <c r="G1223" s="445" t="s">
        <v>537</v>
      </c>
      <c r="H1223" s="63"/>
      <c r="I1223" s="18"/>
      <c r="J1223" s="361">
        <f>VLOOKUP(B1204,'Mil Cost Premiums for RUCs'!$A$4:$R$265,18,FALSE)</f>
        <v>1.0485669999999998</v>
      </c>
      <c r="K1223" s="21">
        <f>+K1222*J1223</f>
        <v>2764929.0347624947</v>
      </c>
      <c r="L1223" s="61" t="s">
        <v>11</v>
      </c>
      <c r="M1223" s="1897"/>
      <c r="N1223" s="420"/>
      <c r="P1223" s="412"/>
      <c r="Q1223" s="391"/>
      <c r="T1223" s="393"/>
    </row>
    <row r="1224" spans="1:20" ht="30" customHeight="1" thickBot="1" x14ac:dyDescent="0.3">
      <c r="A1224" s="76"/>
      <c r="B1224" s="77"/>
      <c r="C1224" s="77"/>
      <c r="D1224" s="77"/>
      <c r="E1224" s="77"/>
      <c r="F1224" s="77"/>
      <c r="G1224" s="77"/>
      <c r="H1224" s="77"/>
      <c r="I1224" s="77"/>
      <c r="J1224" s="77"/>
      <c r="K1224" s="77"/>
      <c r="L1224" s="78"/>
      <c r="M1224" s="1067"/>
      <c r="N1224" s="420"/>
      <c r="O1224"/>
      <c r="P1224" s="412"/>
      <c r="Q1224" s="391"/>
      <c r="T1224" s="393"/>
    </row>
    <row r="1225" spans="1:20" ht="75" customHeight="1" x14ac:dyDescent="0.25">
      <c r="A1225" s="30" t="s">
        <v>288</v>
      </c>
      <c r="B1225" s="31">
        <v>1776</v>
      </c>
      <c r="C1225" s="863" t="s">
        <v>1162</v>
      </c>
      <c r="D1225" s="864"/>
      <c r="E1225" s="36" t="s">
        <v>291</v>
      </c>
      <c r="F1225" s="37" t="s">
        <v>11</v>
      </c>
      <c r="G1225" s="163" t="s">
        <v>1163</v>
      </c>
      <c r="H1225" s="487">
        <v>1</v>
      </c>
      <c r="I1225" s="36" t="s">
        <v>292</v>
      </c>
      <c r="J1225" s="38" t="s">
        <v>3385</v>
      </c>
      <c r="K1225" s="38"/>
      <c r="L1225" s="389"/>
      <c r="M1225" s="1067"/>
      <c r="N1225" s="420"/>
      <c r="O1225"/>
      <c r="P1225" s="412"/>
      <c r="Q1225" s="391"/>
      <c r="T1225" s="393"/>
    </row>
    <row r="1226" spans="1:20" ht="30" customHeight="1" x14ac:dyDescent="0.25">
      <c r="A1226" s="44" t="s">
        <v>913</v>
      </c>
      <c r="B1226" s="490" t="s">
        <v>560</v>
      </c>
      <c r="C1226" s="491"/>
      <c r="D1226" s="492"/>
      <c r="E1226" s="793" t="s">
        <v>519</v>
      </c>
      <c r="F1226" s="793" t="s">
        <v>561</v>
      </c>
      <c r="G1226" s="626" t="s">
        <v>562</v>
      </c>
      <c r="H1226" s="627"/>
      <c r="I1226" s="181" t="s">
        <v>530</v>
      </c>
      <c r="J1226" s="181" t="s">
        <v>533</v>
      </c>
      <c r="K1226" s="507" t="s">
        <v>521</v>
      </c>
      <c r="L1226" s="508"/>
      <c r="M1226" s="1067"/>
      <c r="N1226" s="420"/>
      <c r="O1226"/>
      <c r="P1226" s="412"/>
      <c r="Q1226" s="391"/>
      <c r="T1226" s="393"/>
    </row>
    <row r="1227" spans="1:20" ht="30" customHeight="1" x14ac:dyDescent="0.25">
      <c r="A1227" s="61" t="s">
        <v>849</v>
      </c>
      <c r="B1227" s="236" t="s">
        <v>1164</v>
      </c>
      <c r="C1227" s="237"/>
      <c r="D1227" s="238"/>
      <c r="E1227" s="781">
        <f>+P886</f>
        <v>8.8450000000000006</v>
      </c>
      <c r="F1227" s="61" t="s">
        <v>9</v>
      </c>
      <c r="G1227" s="777">
        <f>26*62</f>
        <v>1612</v>
      </c>
      <c r="H1227" s="634" t="s">
        <v>1062</v>
      </c>
      <c r="I1227" s="751">
        <f>+R886</f>
        <v>1.04</v>
      </c>
      <c r="J1227" s="751">
        <f>+S886</f>
        <v>1.0490196078431373</v>
      </c>
      <c r="K1227" s="530">
        <f>+E1227*G1227*I1227*J1227</f>
        <v>15555.351168627452</v>
      </c>
      <c r="L1227" s="61" t="s">
        <v>11</v>
      </c>
      <c r="M1227" s="1897"/>
      <c r="N1227" s="502"/>
      <c r="O1227"/>
      <c r="P1227" s="412"/>
      <c r="Q1227" s="391"/>
      <c r="T1227" s="393"/>
    </row>
    <row r="1228" spans="1:20" ht="30" customHeight="1" x14ac:dyDescent="0.25">
      <c r="A1228" s="61" t="s">
        <v>916</v>
      </c>
      <c r="B1228" s="236" t="s">
        <v>917</v>
      </c>
      <c r="C1228" s="237"/>
      <c r="D1228" s="238"/>
      <c r="E1228" s="781">
        <f>+P890</f>
        <v>439.5</v>
      </c>
      <c r="F1228" s="644" t="s">
        <v>11</v>
      </c>
      <c r="G1228" s="777">
        <v>26</v>
      </c>
      <c r="H1228" s="634" t="s">
        <v>1063</v>
      </c>
      <c r="I1228" s="751">
        <f>+R890</f>
        <v>1.02</v>
      </c>
      <c r="J1228" s="751">
        <f>+S890</f>
        <v>1.0490196078431373</v>
      </c>
      <c r="K1228" s="530">
        <f>+E1228*G1228*I1228*J1228</f>
        <v>12226.890000000001</v>
      </c>
      <c r="L1228" s="61" t="s">
        <v>11</v>
      </c>
      <c r="M1228" s="1067"/>
      <c r="N1228" s="420"/>
      <c r="O1228"/>
      <c r="P1228" s="412"/>
      <c r="Q1228" s="391"/>
      <c r="T1228" s="393"/>
    </row>
    <row r="1229" spans="1:20" ht="30" customHeight="1" x14ac:dyDescent="0.25">
      <c r="A1229" s="61" t="s">
        <v>916</v>
      </c>
      <c r="B1229" s="236" t="s">
        <v>919</v>
      </c>
      <c r="C1229" s="237"/>
      <c r="D1229" s="238"/>
      <c r="E1229" s="781">
        <f>+P892</f>
        <v>316</v>
      </c>
      <c r="F1229" s="644" t="s">
        <v>11</v>
      </c>
      <c r="G1229" s="777">
        <v>26</v>
      </c>
      <c r="H1229" s="634" t="s">
        <v>1063</v>
      </c>
      <c r="I1229" s="751">
        <f>+R892</f>
        <v>1.02</v>
      </c>
      <c r="J1229" s="751">
        <f>+S892</f>
        <v>1.0490196078431373</v>
      </c>
      <c r="K1229" s="530">
        <f>+E1229*G1229*I1229*J1229</f>
        <v>8791.1200000000008</v>
      </c>
      <c r="L1229" s="61" t="s">
        <v>11</v>
      </c>
      <c r="M1229" s="1067"/>
      <c r="N1229" s="420"/>
      <c r="O1229"/>
      <c r="P1229" s="412"/>
      <c r="Q1229" s="391"/>
      <c r="T1229" s="393"/>
    </row>
    <row r="1230" spans="1:20" ht="30" customHeight="1" x14ac:dyDescent="0.25">
      <c r="A1230" s="61" t="s">
        <v>920</v>
      </c>
      <c r="B1230" s="192" t="s">
        <v>1081</v>
      </c>
      <c r="C1230" s="192"/>
      <c r="D1230" s="192"/>
      <c r="E1230" s="781">
        <f>+P895</f>
        <v>137.85</v>
      </c>
      <c r="F1230" s="644" t="s">
        <v>11</v>
      </c>
      <c r="G1230" s="777">
        <v>104</v>
      </c>
      <c r="H1230" s="634" t="s">
        <v>1063</v>
      </c>
      <c r="I1230" s="751">
        <f>+R895</f>
        <v>1.02</v>
      </c>
      <c r="J1230" s="751">
        <f>+S895</f>
        <v>1.0490196078431373</v>
      </c>
      <c r="K1230" s="530">
        <f>+E1230*G1230*I1230*J1230</f>
        <v>15339.948000000002</v>
      </c>
      <c r="L1230" s="61" t="s">
        <v>11</v>
      </c>
      <c r="M1230" s="1067"/>
      <c r="N1230" s="420"/>
      <c r="O1230"/>
      <c r="P1230" s="412"/>
      <c r="Q1230" s="391"/>
      <c r="T1230" s="393"/>
    </row>
    <row r="1231" spans="1:20" ht="30" customHeight="1" x14ac:dyDescent="0.25">
      <c r="A1231" s="61" t="s">
        <v>922</v>
      </c>
      <c r="B1231" s="236" t="s">
        <v>1165</v>
      </c>
      <c r="C1231" s="237"/>
      <c r="D1231" s="238"/>
      <c r="E1231" s="781">
        <f>+P896</f>
        <v>17.110000000000003</v>
      </c>
      <c r="F1231" s="644" t="s">
        <v>7</v>
      </c>
      <c r="G1231" s="777">
        <v>8105</v>
      </c>
      <c r="H1231" s="634" t="s">
        <v>1066</v>
      </c>
      <c r="I1231" s="751">
        <f>+R896</f>
        <v>1.02</v>
      </c>
      <c r="J1231" s="751">
        <f>+S896</f>
        <v>1.0490196078431373</v>
      </c>
      <c r="K1231" s="530">
        <f>+E1231*G1231*I1231*J1231</f>
        <v>148383.90850000005</v>
      </c>
      <c r="L1231" s="61" t="s">
        <v>11</v>
      </c>
      <c r="M1231" s="1067"/>
      <c r="N1231" s="420"/>
      <c r="O1231"/>
      <c r="P1231" s="412"/>
      <c r="Q1231" s="391"/>
      <c r="T1231" s="393"/>
    </row>
    <row r="1232" spans="1:20" ht="30" customHeight="1" x14ac:dyDescent="0.25">
      <c r="A1232" s="61">
        <v>85110</v>
      </c>
      <c r="B1232" s="236" t="s">
        <v>1166</v>
      </c>
      <c r="C1232" s="237"/>
      <c r="D1232" s="238"/>
      <c r="E1232" s="781">
        <f>+P904</f>
        <v>57</v>
      </c>
      <c r="F1232" s="61" t="s">
        <v>3</v>
      </c>
      <c r="G1232" s="777">
        <v>897</v>
      </c>
      <c r="H1232" s="634" t="s">
        <v>1067</v>
      </c>
      <c r="I1232" s="818">
        <f>+R904</f>
        <v>0.9432470865927236</v>
      </c>
      <c r="J1232" s="20"/>
      <c r="K1232" s="530">
        <f>+E1232*G1232*I1232</f>
        <v>48227.280290399365</v>
      </c>
      <c r="L1232" s="61" t="s">
        <v>11</v>
      </c>
      <c r="M1232" s="1067"/>
      <c r="N1232" s="420"/>
      <c r="O1232"/>
      <c r="P1232" s="412"/>
      <c r="Q1232" s="391"/>
      <c r="T1232" s="393"/>
    </row>
    <row r="1233" spans="1:20" ht="30" customHeight="1" x14ac:dyDescent="0.25">
      <c r="A1233" s="61">
        <v>85110</v>
      </c>
      <c r="B1233" s="236" t="s">
        <v>1167</v>
      </c>
      <c r="C1233" s="237"/>
      <c r="D1233" s="238"/>
      <c r="E1233" s="781">
        <f>+P903</f>
        <v>18.100000000000001</v>
      </c>
      <c r="F1233" s="644" t="s">
        <v>3</v>
      </c>
      <c r="G1233" s="777">
        <v>1435</v>
      </c>
      <c r="H1233" s="634" t="s">
        <v>1067</v>
      </c>
      <c r="I1233" s="818">
        <f>+R903</f>
        <v>0.9432470865927236</v>
      </c>
      <c r="J1233" s="20"/>
      <c r="K1233" s="530">
        <f>+E1233*G1233*I1233</f>
        <v>24499.428203616109</v>
      </c>
      <c r="L1233" s="61" t="s">
        <v>11</v>
      </c>
      <c r="M1233" s="1067"/>
      <c r="N1233" s="420"/>
      <c r="O1233"/>
      <c r="P1233" s="412"/>
      <c r="Q1233" s="391"/>
      <c r="T1233" s="393"/>
    </row>
    <row r="1234" spans="1:20" ht="30" customHeight="1" x14ac:dyDescent="0.25">
      <c r="A1234" s="61" t="s">
        <v>563</v>
      </c>
      <c r="B1234" s="236" t="s">
        <v>1168</v>
      </c>
      <c r="C1234" s="237"/>
      <c r="D1234" s="238"/>
      <c r="E1234" s="781">
        <f>+P883</f>
        <v>44.99</v>
      </c>
      <c r="F1234" s="644" t="s">
        <v>9</v>
      </c>
      <c r="G1234" s="777">
        <f>12*600</f>
        <v>7200</v>
      </c>
      <c r="H1234" s="634" t="s">
        <v>1062</v>
      </c>
      <c r="I1234" s="751">
        <f>+R883</f>
        <v>1.05</v>
      </c>
      <c r="J1234" s="751">
        <f>+S883</f>
        <v>1.0490196078431373</v>
      </c>
      <c r="K1234" s="530">
        <f>+E1234*G1234*I1234*J1234</f>
        <v>356797.16470588237</v>
      </c>
      <c r="L1234" s="61" t="s">
        <v>11</v>
      </c>
      <c r="M1234" s="1067"/>
      <c r="N1234" s="420"/>
      <c r="O1234"/>
      <c r="P1234" s="412"/>
      <c r="Q1234" s="391"/>
      <c r="T1234" s="393"/>
    </row>
    <row r="1235" spans="1:20" ht="30" customHeight="1" x14ac:dyDescent="0.25">
      <c r="A1235" s="61">
        <v>93410</v>
      </c>
      <c r="B1235" s="236" t="s">
        <v>1169</v>
      </c>
      <c r="C1235" s="237"/>
      <c r="D1235" s="238"/>
      <c r="E1235" s="781">
        <f>+P905</f>
        <v>8</v>
      </c>
      <c r="F1235" s="644" t="s">
        <v>307</v>
      </c>
      <c r="G1235" s="777">
        <v>3923</v>
      </c>
      <c r="H1235" s="634" t="s">
        <v>1070</v>
      </c>
      <c r="I1235" s="818">
        <f>+R905</f>
        <v>0.9432470865927236</v>
      </c>
      <c r="J1235" s="20"/>
      <c r="K1235" s="530">
        <f>+E1235*G1235*I1235</f>
        <v>29602.866565626038</v>
      </c>
      <c r="L1235" s="61" t="s">
        <v>11</v>
      </c>
      <c r="M1235" s="1940"/>
      <c r="N1235" s="1966"/>
      <c r="O1235"/>
      <c r="P1235" s="412"/>
      <c r="Q1235" s="391"/>
      <c r="T1235" s="393"/>
    </row>
    <row r="1236" spans="1:20" ht="30" customHeight="1" x14ac:dyDescent="0.25">
      <c r="A1236" s="61" t="s">
        <v>849</v>
      </c>
      <c r="B1236" s="236" t="s">
        <v>1170</v>
      </c>
      <c r="C1236" s="237"/>
      <c r="D1236" s="238"/>
      <c r="E1236" s="594">
        <f>+P886</f>
        <v>8.8450000000000006</v>
      </c>
      <c r="F1236" s="644" t="s">
        <v>9</v>
      </c>
      <c r="G1236" s="777">
        <f>4*144</f>
        <v>576</v>
      </c>
      <c r="H1236" s="634" t="s">
        <v>1062</v>
      </c>
      <c r="I1236" s="20">
        <f>+R886</f>
        <v>1.04</v>
      </c>
      <c r="J1236" s="751">
        <f>+S886</f>
        <v>1.0490196078431373</v>
      </c>
      <c r="K1236" s="530">
        <f>+E1236*G1236*I1236*J1236</f>
        <v>5558.2396235294127</v>
      </c>
      <c r="L1236" s="61" t="s">
        <v>11</v>
      </c>
      <c r="M1236" s="1067"/>
      <c r="N1236" s="420"/>
      <c r="O1236"/>
      <c r="P1236" s="412"/>
      <c r="Q1236" s="391"/>
      <c r="T1236" s="393"/>
    </row>
    <row r="1237" spans="1:20" ht="30" customHeight="1" x14ac:dyDescent="0.25">
      <c r="A1237" s="61">
        <v>93210</v>
      </c>
      <c r="B1237" s="236" t="s">
        <v>1171</v>
      </c>
      <c r="C1237" s="237"/>
      <c r="D1237" s="238"/>
      <c r="E1237" s="781">
        <f>+P907</f>
        <v>44.901000000000003</v>
      </c>
      <c r="F1237" s="644" t="s">
        <v>307</v>
      </c>
      <c r="G1237" s="777">
        <v>4622</v>
      </c>
      <c r="H1237" s="634" t="s">
        <v>1070</v>
      </c>
      <c r="I1237" s="818">
        <f>+R907</f>
        <v>0.9432470865927236</v>
      </c>
      <c r="J1237" s="20"/>
      <c r="K1237" s="530">
        <f>+E1237*G1237*I1237</f>
        <v>195754.35242503168</v>
      </c>
      <c r="L1237" s="61" t="s">
        <v>11</v>
      </c>
      <c r="M1237" s="1067"/>
      <c r="N1237" s="420"/>
      <c r="O1237"/>
      <c r="P1237" s="412"/>
      <c r="Q1237" s="391"/>
      <c r="T1237" s="393"/>
    </row>
    <row r="1238" spans="1:20" ht="30" customHeight="1" x14ac:dyDescent="0.25">
      <c r="A1238" s="61" t="s">
        <v>942</v>
      </c>
      <c r="B1238" s="236" t="s">
        <v>1172</v>
      </c>
      <c r="C1238" s="237"/>
      <c r="D1238" s="238"/>
      <c r="E1238" s="594">
        <f>+P884</f>
        <v>18.05</v>
      </c>
      <c r="F1238" s="644" t="s">
        <v>9</v>
      </c>
      <c r="G1238" s="777">
        <v>1200</v>
      </c>
      <c r="H1238" s="634" t="s">
        <v>1062</v>
      </c>
      <c r="I1238" s="751">
        <f>+R884</f>
        <v>1.06</v>
      </c>
      <c r="J1238" s="751">
        <f>+S884</f>
        <v>1.0490196078431373</v>
      </c>
      <c r="K1238" s="530">
        <f>+E1238*G1238*I1238*J1238</f>
        <v>24085.070588235296</v>
      </c>
      <c r="L1238" s="61" t="s">
        <v>11</v>
      </c>
      <c r="M1238" s="1067"/>
      <c r="N1238" s="420"/>
      <c r="O1238"/>
      <c r="P1238" s="412"/>
      <c r="Q1238" s="391"/>
      <c r="T1238" s="393"/>
    </row>
    <row r="1239" spans="1:20" ht="30" customHeight="1" x14ac:dyDescent="0.25">
      <c r="A1239" s="61"/>
      <c r="B1239" s="192"/>
      <c r="C1239" s="192"/>
      <c r="D1239" s="192"/>
      <c r="E1239" s="530"/>
      <c r="F1239" s="61"/>
      <c r="G1239" s="817"/>
      <c r="H1239" s="646"/>
      <c r="I1239" s="20"/>
      <c r="J1239" s="20" t="s">
        <v>646</v>
      </c>
      <c r="K1239" s="530">
        <f>SUM(K1227:K1238)</f>
        <v>884821.62007094768</v>
      </c>
      <c r="L1239" s="61" t="s">
        <v>11</v>
      </c>
      <c r="M1239" s="1067"/>
      <c r="N1239" s="420"/>
      <c r="O1239"/>
      <c r="P1239" s="412"/>
      <c r="Q1239" s="391"/>
      <c r="T1239" s="393"/>
    </row>
    <row r="1240" spans="1:20" ht="30" customHeight="1" thickBot="1" x14ac:dyDescent="0.3">
      <c r="A1240" s="61"/>
      <c r="B1240" s="61"/>
      <c r="C1240" s="63"/>
      <c r="D1240" s="63"/>
      <c r="E1240" s="63"/>
      <c r="F1240" s="63"/>
      <c r="G1240" s="445" t="s">
        <v>537</v>
      </c>
      <c r="H1240" s="63"/>
      <c r="I1240" s="18"/>
      <c r="J1240" s="361">
        <f>VLOOKUP(B1225,'Mil Cost Premiums for RUCs'!$A$4:$R$265,18,FALSE)</f>
        <v>1.0821211439999998</v>
      </c>
      <c r="K1240" s="21">
        <f>+K1239*J1240</f>
        <v>957484.18374710705</v>
      </c>
      <c r="L1240" s="61" t="s">
        <v>11</v>
      </c>
      <c r="M1240" s="1067"/>
      <c r="N1240" s="420"/>
      <c r="O1240"/>
      <c r="P1240" s="412"/>
      <c r="Q1240" s="391"/>
      <c r="T1240" s="393"/>
    </row>
    <row r="1241" spans="1:20" ht="30" customHeight="1" thickBot="1" x14ac:dyDescent="0.3">
      <c r="A1241" s="76"/>
      <c r="B1241" s="77"/>
      <c r="C1241" s="77"/>
      <c r="D1241" s="77"/>
      <c r="E1241" s="77"/>
      <c r="F1241" s="77"/>
      <c r="G1241" s="77"/>
      <c r="H1241" s="77"/>
      <c r="I1241" s="77"/>
      <c r="J1241" s="77"/>
      <c r="K1241" s="77"/>
      <c r="L1241" s="78"/>
      <c r="M1241" s="1067"/>
      <c r="N1241" s="420"/>
      <c r="O1241"/>
      <c r="P1241" s="412"/>
      <c r="Q1241" s="391"/>
      <c r="T1241" s="393"/>
    </row>
    <row r="1242" spans="1:20" ht="75" customHeight="1" x14ac:dyDescent="0.25">
      <c r="A1242" s="30" t="s">
        <v>288</v>
      </c>
      <c r="B1242" s="31">
        <v>1777</v>
      </c>
      <c r="C1242" s="863" t="s">
        <v>1173</v>
      </c>
      <c r="D1242" s="864"/>
      <c r="E1242" s="36" t="s">
        <v>291</v>
      </c>
      <c r="F1242" s="37" t="s">
        <v>38</v>
      </c>
      <c r="G1242" s="163" t="s">
        <v>1174</v>
      </c>
      <c r="H1242" s="487">
        <v>1</v>
      </c>
      <c r="I1242" s="36" t="s">
        <v>292</v>
      </c>
      <c r="J1242" s="38" t="s">
        <v>3385</v>
      </c>
      <c r="K1242" s="38"/>
      <c r="L1242" s="389"/>
      <c r="M1242" s="1067"/>
      <c r="N1242" s="420"/>
      <c r="O1242"/>
      <c r="P1242" s="412"/>
      <c r="Q1242" s="391"/>
      <c r="T1242" s="393"/>
    </row>
    <row r="1243" spans="1:20" s="49" customFormat="1" ht="30" customHeight="1" x14ac:dyDescent="0.25">
      <c r="A1243" s="44" t="s">
        <v>913</v>
      </c>
      <c r="B1243" s="490" t="s">
        <v>560</v>
      </c>
      <c r="C1243" s="491"/>
      <c r="D1243" s="492"/>
      <c r="E1243" s="397" t="s">
        <v>519</v>
      </c>
      <c r="F1243" s="397" t="s">
        <v>561</v>
      </c>
      <c r="G1243" s="398" t="s">
        <v>562</v>
      </c>
      <c r="H1243" s="399"/>
      <c r="I1243" s="181" t="s">
        <v>530</v>
      </c>
      <c r="J1243" s="400" t="s">
        <v>533</v>
      </c>
      <c r="K1243" s="288" t="s">
        <v>521</v>
      </c>
      <c r="L1243" s="289"/>
      <c r="M1243" s="1897"/>
      <c r="N1243" s="420"/>
      <c r="P1243" s="412"/>
      <c r="Q1243" s="391"/>
      <c r="T1243" s="393"/>
    </row>
    <row r="1244" spans="1:20" s="49" customFormat="1" ht="30" customHeight="1" x14ac:dyDescent="0.25">
      <c r="A1244" s="44"/>
      <c r="B1244" s="716" t="s">
        <v>1175</v>
      </c>
      <c r="C1244" s="717"/>
      <c r="D1244" s="718"/>
      <c r="E1244" s="397"/>
      <c r="F1244" s="397"/>
      <c r="G1244" s="774"/>
      <c r="H1244" s="775"/>
      <c r="I1244" s="599"/>
      <c r="J1244" s="599"/>
      <c r="K1244" s="397"/>
      <c r="L1244" s="397"/>
      <c r="M1244" s="857"/>
      <c r="N1244" s="420"/>
      <c r="P1244" s="412"/>
      <c r="Q1244" s="391"/>
      <c r="T1244" s="393"/>
    </row>
    <row r="1245" spans="1:20" ht="30" customHeight="1" x14ac:dyDescent="0.25">
      <c r="A1245" s="61" t="s">
        <v>849</v>
      </c>
      <c r="B1245" s="236" t="s">
        <v>1176</v>
      </c>
      <c r="C1245" s="237"/>
      <c r="D1245" s="238"/>
      <c r="E1245" s="781">
        <f>+P886</f>
        <v>8.8450000000000006</v>
      </c>
      <c r="F1245" s="20" t="s">
        <v>9</v>
      </c>
      <c r="G1245" s="777">
        <f>9*62</f>
        <v>558</v>
      </c>
      <c r="H1245" s="609" t="s">
        <v>915</v>
      </c>
      <c r="I1245" s="751">
        <f>+R886</f>
        <v>1.04</v>
      </c>
      <c r="J1245" s="751">
        <f>+S886</f>
        <v>1.0490196078431373</v>
      </c>
      <c r="K1245" s="405">
        <f t="shared" ref="K1245:K1256" si="23">+E1245*G1245*I1245*J1245</f>
        <v>5384.5446352941181</v>
      </c>
      <c r="L1245" s="20" t="s">
        <v>38</v>
      </c>
      <c r="M1245" s="857"/>
      <c r="N1245" s="420"/>
      <c r="O1245"/>
      <c r="P1245" s="412"/>
      <c r="Q1245" s="391"/>
      <c r="T1245" s="393"/>
    </row>
    <row r="1246" spans="1:20" ht="30" customHeight="1" x14ac:dyDescent="0.25">
      <c r="A1246" s="61" t="s">
        <v>916</v>
      </c>
      <c r="B1246" s="236" t="s">
        <v>917</v>
      </c>
      <c r="C1246" s="237"/>
      <c r="D1246" s="238"/>
      <c r="E1246" s="781">
        <f>+P890</f>
        <v>439.5</v>
      </c>
      <c r="F1246" s="730" t="s">
        <v>11</v>
      </c>
      <c r="G1246" s="777">
        <v>9</v>
      </c>
      <c r="H1246" s="609" t="s">
        <v>918</v>
      </c>
      <c r="I1246" s="751">
        <f>+R890</f>
        <v>1.02</v>
      </c>
      <c r="J1246" s="751">
        <f>+S890</f>
        <v>1.0490196078431373</v>
      </c>
      <c r="K1246" s="405">
        <f t="shared" si="23"/>
        <v>4232.3850000000002</v>
      </c>
      <c r="L1246" s="20" t="s">
        <v>38</v>
      </c>
      <c r="M1246" s="857"/>
      <c r="N1246" s="420"/>
      <c r="O1246"/>
      <c r="P1246" s="412"/>
      <c r="Q1246" s="391"/>
      <c r="T1246" s="393"/>
    </row>
    <row r="1247" spans="1:20" ht="30" customHeight="1" x14ac:dyDescent="0.25">
      <c r="A1247" s="61" t="s">
        <v>916</v>
      </c>
      <c r="B1247" s="192" t="s">
        <v>919</v>
      </c>
      <c r="C1247" s="192"/>
      <c r="D1247" s="192"/>
      <c r="E1247" s="781">
        <f>+P892</f>
        <v>316</v>
      </c>
      <c r="F1247" s="730" t="s">
        <v>11</v>
      </c>
      <c r="G1247" s="777">
        <v>9</v>
      </c>
      <c r="H1247" s="609" t="s">
        <v>918</v>
      </c>
      <c r="I1247" s="751">
        <f>+R892</f>
        <v>1.02</v>
      </c>
      <c r="J1247" s="751">
        <f>+S892</f>
        <v>1.0490196078431373</v>
      </c>
      <c r="K1247" s="405">
        <f t="shared" si="23"/>
        <v>3043.0800000000004</v>
      </c>
      <c r="L1247" s="20" t="s">
        <v>38</v>
      </c>
      <c r="M1247" s="857"/>
      <c r="N1247" s="420"/>
      <c r="O1247"/>
      <c r="P1247" s="412"/>
      <c r="Q1247" s="391"/>
      <c r="T1247" s="393"/>
    </row>
    <row r="1248" spans="1:20" ht="30" customHeight="1" x14ac:dyDescent="0.25">
      <c r="A1248" s="61" t="s">
        <v>849</v>
      </c>
      <c r="B1248" s="192" t="s">
        <v>1002</v>
      </c>
      <c r="C1248" s="192"/>
      <c r="D1248" s="192"/>
      <c r="E1248" s="781">
        <f>+P887</f>
        <v>10.805</v>
      </c>
      <c r="F1248" s="20" t="s">
        <v>9</v>
      </c>
      <c r="G1248" s="777">
        <f>2*468</f>
        <v>936</v>
      </c>
      <c r="H1248" s="609" t="s">
        <v>915</v>
      </c>
      <c r="I1248" s="751">
        <f>+R887</f>
        <v>1.04</v>
      </c>
      <c r="J1248" s="751">
        <f>+S887</f>
        <v>1.0490196078431373</v>
      </c>
      <c r="K1248" s="405">
        <f t="shared" si="23"/>
        <v>11033.608376470589</v>
      </c>
      <c r="L1248" s="20" t="s">
        <v>38</v>
      </c>
      <c r="N1248" s="420"/>
      <c r="O1248"/>
      <c r="P1248" s="412"/>
      <c r="Q1248" s="391"/>
      <c r="T1248" s="393"/>
    </row>
    <row r="1249" spans="1:20" ht="30" customHeight="1" x14ac:dyDescent="0.25">
      <c r="A1249" s="61" t="s">
        <v>780</v>
      </c>
      <c r="B1249" s="192" t="s">
        <v>1177</v>
      </c>
      <c r="C1249" s="192"/>
      <c r="D1249" s="192"/>
      <c r="E1249" s="781">
        <f>+P888</f>
        <v>17.95</v>
      </c>
      <c r="F1249" s="20" t="s">
        <v>9</v>
      </c>
      <c r="G1249" s="777">
        <f>2152*2</f>
        <v>4304</v>
      </c>
      <c r="H1249" s="609" t="s">
        <v>915</v>
      </c>
      <c r="I1249" s="751">
        <f>+R888</f>
        <v>1.04</v>
      </c>
      <c r="J1249" s="751">
        <f>+S888</f>
        <v>1.0490196078431373</v>
      </c>
      <c r="K1249" s="405">
        <f t="shared" si="23"/>
        <v>84285.653960784315</v>
      </c>
      <c r="L1249" s="20" t="s">
        <v>38</v>
      </c>
      <c r="N1249" s="420"/>
      <c r="O1249"/>
      <c r="P1249" s="412"/>
      <c r="Q1249" s="391"/>
      <c r="T1249" s="393"/>
    </row>
    <row r="1250" spans="1:20" ht="30" customHeight="1" x14ac:dyDescent="0.25">
      <c r="A1250" s="61" t="s">
        <v>780</v>
      </c>
      <c r="B1250" s="192" t="s">
        <v>1094</v>
      </c>
      <c r="C1250" s="192"/>
      <c r="D1250" s="192"/>
      <c r="E1250" s="781">
        <f>+P888</f>
        <v>17.95</v>
      </c>
      <c r="F1250" s="20" t="s">
        <v>9</v>
      </c>
      <c r="G1250" s="839">
        <f>80.7*1</f>
        <v>80.7</v>
      </c>
      <c r="H1250" s="609" t="s">
        <v>915</v>
      </c>
      <c r="I1250" s="751">
        <f>+R888</f>
        <v>1.04</v>
      </c>
      <c r="J1250" s="751">
        <f>+S888</f>
        <v>1.0490196078431373</v>
      </c>
      <c r="K1250" s="405">
        <f t="shared" si="23"/>
        <v>1580.3560117647062</v>
      </c>
      <c r="L1250" s="20" t="s">
        <v>38</v>
      </c>
      <c r="N1250" s="420"/>
      <c r="O1250"/>
      <c r="P1250" s="412"/>
      <c r="Q1250" s="391"/>
      <c r="T1250" s="393"/>
    </row>
    <row r="1251" spans="1:20" ht="30" customHeight="1" x14ac:dyDescent="0.25">
      <c r="A1251" s="61" t="s">
        <v>916</v>
      </c>
      <c r="B1251" s="192" t="s">
        <v>953</v>
      </c>
      <c r="C1251" s="192"/>
      <c r="D1251" s="192"/>
      <c r="E1251" s="781">
        <f>+P891</f>
        <v>800</v>
      </c>
      <c r="F1251" s="730" t="s">
        <v>11</v>
      </c>
      <c r="G1251" s="777">
        <v>5</v>
      </c>
      <c r="H1251" s="609" t="s">
        <v>918</v>
      </c>
      <c r="I1251" s="751">
        <f>+R891</f>
        <v>1.02</v>
      </c>
      <c r="J1251" s="751">
        <f>+S891</f>
        <v>1.0490196078431373</v>
      </c>
      <c r="K1251" s="405">
        <f t="shared" si="23"/>
        <v>4280</v>
      </c>
      <c r="L1251" s="20" t="s">
        <v>38</v>
      </c>
      <c r="N1251" s="420"/>
      <c r="O1251"/>
      <c r="P1251" s="412"/>
      <c r="Q1251" s="391"/>
      <c r="T1251" s="393"/>
    </row>
    <row r="1252" spans="1:20" ht="30" customHeight="1" x14ac:dyDescent="0.25">
      <c r="A1252" s="61" t="s">
        <v>760</v>
      </c>
      <c r="B1252" s="192" t="s">
        <v>1178</v>
      </c>
      <c r="C1252" s="192"/>
      <c r="D1252" s="192"/>
      <c r="E1252" s="781">
        <f>+P898</f>
        <v>17.125</v>
      </c>
      <c r="F1252" s="730" t="s">
        <v>7</v>
      </c>
      <c r="G1252" s="777">
        <f>+((656*2)+(49*1))</f>
        <v>1361</v>
      </c>
      <c r="H1252" s="609" t="s">
        <v>924</v>
      </c>
      <c r="I1252" s="751">
        <f>+R898</f>
        <v>1.02</v>
      </c>
      <c r="J1252" s="751">
        <f>+S898</f>
        <v>1.0490196078431373</v>
      </c>
      <c r="K1252" s="405">
        <f t="shared" si="23"/>
        <v>24938.623750000002</v>
      </c>
      <c r="L1252" s="20" t="s">
        <v>38</v>
      </c>
      <c r="M1252" s="1067"/>
      <c r="N1252" s="420"/>
      <c r="O1252"/>
      <c r="P1252" s="412"/>
      <c r="Q1252" s="391"/>
      <c r="T1252" s="393"/>
    </row>
    <row r="1253" spans="1:20" ht="30" customHeight="1" x14ac:dyDescent="0.25">
      <c r="A1253" s="61" t="s">
        <v>760</v>
      </c>
      <c r="B1253" s="192" t="s">
        <v>1080</v>
      </c>
      <c r="C1253" s="192"/>
      <c r="D1253" s="192"/>
      <c r="E1253" s="781">
        <f>+P899</f>
        <v>2617.5</v>
      </c>
      <c r="F1253" s="730" t="s">
        <v>11</v>
      </c>
      <c r="G1253" s="777">
        <v>3</v>
      </c>
      <c r="H1253" s="609" t="s">
        <v>918</v>
      </c>
      <c r="I1253" s="751">
        <f>+R899</f>
        <v>1.02</v>
      </c>
      <c r="J1253" s="751">
        <f>+S899</f>
        <v>1.0490196078431373</v>
      </c>
      <c r="K1253" s="405">
        <f t="shared" si="23"/>
        <v>8402.1750000000011</v>
      </c>
      <c r="L1253" s="20" t="s">
        <v>38</v>
      </c>
      <c r="M1253" s="1067"/>
      <c r="N1253" s="420"/>
      <c r="O1253"/>
      <c r="P1253" s="412"/>
      <c r="Q1253" s="391"/>
      <c r="T1253" s="393"/>
    </row>
    <row r="1254" spans="1:20" ht="30" customHeight="1" x14ac:dyDescent="0.25">
      <c r="A1254" s="61" t="s">
        <v>916</v>
      </c>
      <c r="B1254" s="192" t="s">
        <v>1004</v>
      </c>
      <c r="C1254" s="192"/>
      <c r="D1254" s="192"/>
      <c r="E1254" s="781">
        <f>+P894</f>
        <v>985</v>
      </c>
      <c r="F1254" s="730" t="s">
        <v>11</v>
      </c>
      <c r="G1254" s="777">
        <v>5</v>
      </c>
      <c r="H1254" s="609" t="s">
        <v>918</v>
      </c>
      <c r="I1254" s="751">
        <f>+R894</f>
        <v>1.02</v>
      </c>
      <c r="J1254" s="751">
        <f>+S894</f>
        <v>1.0490196078431373</v>
      </c>
      <c r="K1254" s="405">
        <f t="shared" si="23"/>
        <v>5269.75</v>
      </c>
      <c r="L1254" s="20" t="s">
        <v>38</v>
      </c>
      <c r="M1254" s="1855"/>
      <c r="N1254" s="420"/>
      <c r="O1254"/>
      <c r="P1254" s="412"/>
      <c r="Q1254" s="391"/>
      <c r="T1254" s="393"/>
    </row>
    <row r="1255" spans="1:20" ht="30" customHeight="1" x14ac:dyDescent="0.25">
      <c r="A1255" s="61" t="s">
        <v>920</v>
      </c>
      <c r="B1255" s="192" t="s">
        <v>1081</v>
      </c>
      <c r="C1255" s="192"/>
      <c r="D1255" s="192"/>
      <c r="E1255" s="781">
        <f>+P895</f>
        <v>137.85</v>
      </c>
      <c r="F1255" s="644" t="s">
        <v>11</v>
      </c>
      <c r="G1255" s="777">
        <v>46</v>
      </c>
      <c r="H1255" s="609" t="s">
        <v>918</v>
      </c>
      <c r="I1255" s="751">
        <f>+R895</f>
        <v>1.02</v>
      </c>
      <c r="J1255" s="751">
        <f>+S895</f>
        <v>1.0490196078431373</v>
      </c>
      <c r="K1255" s="405">
        <f t="shared" si="23"/>
        <v>6784.9769999999999</v>
      </c>
      <c r="L1255" s="20" t="s">
        <v>38</v>
      </c>
      <c r="M1255" s="654"/>
      <c r="N1255" s="420"/>
      <c r="O1255"/>
      <c r="P1255" s="412"/>
      <c r="Q1255" s="391"/>
      <c r="T1255" s="393"/>
    </row>
    <row r="1256" spans="1:20" ht="30" customHeight="1" x14ac:dyDescent="0.25">
      <c r="A1256" s="61" t="s">
        <v>922</v>
      </c>
      <c r="B1256" s="236" t="s">
        <v>939</v>
      </c>
      <c r="C1256" s="237"/>
      <c r="D1256" s="238"/>
      <c r="E1256" s="781">
        <f>+P896</f>
        <v>17.110000000000003</v>
      </c>
      <c r="F1256" s="644" t="s">
        <v>7</v>
      </c>
      <c r="G1256" s="777">
        <v>13582</v>
      </c>
      <c r="H1256" s="609" t="s">
        <v>924</v>
      </c>
      <c r="I1256" s="751">
        <f>+R896</f>
        <v>1.02</v>
      </c>
      <c r="J1256" s="751">
        <f>+S896</f>
        <v>1.0490196078431373</v>
      </c>
      <c r="K1256" s="405">
        <f t="shared" si="23"/>
        <v>248655.18140000006</v>
      </c>
      <c r="L1256" s="20" t="s">
        <v>38</v>
      </c>
      <c r="M1256" s="856"/>
      <c r="N1256" s="420"/>
      <c r="O1256"/>
      <c r="P1256" s="412"/>
      <c r="Q1256" s="391"/>
      <c r="T1256" s="393"/>
    </row>
    <row r="1257" spans="1:20" ht="30" customHeight="1" x14ac:dyDescent="0.25">
      <c r="A1257" s="61">
        <v>93410</v>
      </c>
      <c r="B1257" s="236" t="s">
        <v>1179</v>
      </c>
      <c r="C1257" s="237"/>
      <c r="D1257" s="238"/>
      <c r="E1257" s="594">
        <f>+P906</f>
        <v>1.1000000000000001</v>
      </c>
      <c r="F1257" s="644" t="s">
        <v>3</v>
      </c>
      <c r="G1257" s="777">
        <v>1435</v>
      </c>
      <c r="H1257" s="609" t="s">
        <v>1180</v>
      </c>
      <c r="I1257" s="818">
        <f>+R906</f>
        <v>0.9432470865927236</v>
      </c>
      <c r="J1257" s="20"/>
      <c r="K1257" s="405">
        <f>+E1257*G1257*I1257</f>
        <v>1488.9155261866144</v>
      </c>
      <c r="L1257" s="20" t="s">
        <v>38</v>
      </c>
      <c r="M1257" s="1067"/>
      <c r="N1257" s="420"/>
      <c r="O1257"/>
      <c r="P1257" s="412"/>
      <c r="Q1257" s="391"/>
      <c r="T1257" s="393"/>
    </row>
    <row r="1258" spans="1:20" ht="30" customHeight="1" x14ac:dyDescent="0.25">
      <c r="A1258" s="61">
        <v>93410</v>
      </c>
      <c r="B1258" s="236" t="s">
        <v>1181</v>
      </c>
      <c r="C1258" s="237"/>
      <c r="D1258" s="238"/>
      <c r="E1258" s="781">
        <f>+P905</f>
        <v>8</v>
      </c>
      <c r="F1258" s="644" t="s">
        <v>307</v>
      </c>
      <c r="G1258" s="777">
        <v>17139</v>
      </c>
      <c r="H1258" s="609" t="s">
        <v>927</v>
      </c>
      <c r="I1258" s="818">
        <f>+R905</f>
        <v>0.9432470865927236</v>
      </c>
      <c r="J1258" s="20"/>
      <c r="K1258" s="405">
        <f>+E1258*G1258*I1258</f>
        <v>129330.49453690152</v>
      </c>
      <c r="L1258" s="20" t="s">
        <v>38</v>
      </c>
      <c r="M1258" s="1067"/>
      <c r="N1258" s="420"/>
      <c r="O1258"/>
      <c r="P1258" s="412"/>
      <c r="Q1258" s="391"/>
      <c r="T1258" s="393"/>
    </row>
    <row r="1259" spans="1:20" ht="30" customHeight="1" x14ac:dyDescent="0.25">
      <c r="A1259" s="61">
        <v>93210</v>
      </c>
      <c r="B1259" s="236" t="s">
        <v>1182</v>
      </c>
      <c r="C1259" s="237"/>
      <c r="D1259" s="238"/>
      <c r="E1259" s="781">
        <f>+P907</f>
        <v>44.901000000000003</v>
      </c>
      <c r="F1259" s="644" t="s">
        <v>307</v>
      </c>
      <c r="G1259" s="777">
        <v>431</v>
      </c>
      <c r="H1259" s="609" t="s">
        <v>927</v>
      </c>
      <c r="I1259" s="818">
        <f>+R907</f>
        <v>0.9432470865927236</v>
      </c>
      <c r="J1259" s="20"/>
      <c r="K1259" s="405">
        <f>+E1259*G1259*I1259</f>
        <v>18254.02983452805</v>
      </c>
      <c r="L1259" s="20" t="s">
        <v>38</v>
      </c>
      <c r="M1259" s="1067"/>
      <c r="N1259" s="420"/>
      <c r="O1259"/>
      <c r="P1259" s="412"/>
      <c r="Q1259" s="391"/>
      <c r="T1259" s="393"/>
    </row>
    <row r="1260" spans="1:20" ht="30" customHeight="1" x14ac:dyDescent="0.25">
      <c r="A1260" s="61" t="s">
        <v>942</v>
      </c>
      <c r="B1260" s="236" t="s">
        <v>1183</v>
      </c>
      <c r="C1260" s="237"/>
      <c r="D1260" s="238"/>
      <c r="E1260" s="594">
        <f>+P884</f>
        <v>18.05</v>
      </c>
      <c r="F1260" s="644" t="s">
        <v>9</v>
      </c>
      <c r="G1260" s="777">
        <v>1600</v>
      </c>
      <c r="H1260" s="609" t="s">
        <v>915</v>
      </c>
      <c r="I1260" s="759">
        <f>+R884</f>
        <v>1.06</v>
      </c>
      <c r="J1260" s="751">
        <f>+S884</f>
        <v>1.0490196078431373</v>
      </c>
      <c r="K1260" s="405">
        <f>+E1260*G1260*I1260*J1260</f>
        <v>32113.427450980398</v>
      </c>
      <c r="L1260" s="20" t="s">
        <v>38</v>
      </c>
      <c r="M1260" s="1855"/>
      <c r="N1260" s="420"/>
      <c r="O1260"/>
      <c r="P1260" s="412"/>
      <c r="Q1260" s="391"/>
      <c r="T1260" s="393"/>
    </row>
    <row r="1261" spans="1:20" s="49" customFormat="1" ht="30" customHeight="1" x14ac:dyDescent="0.25">
      <c r="A1261" s="61"/>
      <c r="B1261" s="192"/>
      <c r="C1261" s="192"/>
      <c r="D1261" s="192"/>
      <c r="E1261" s="530"/>
      <c r="F1261" s="61"/>
      <c r="G1261" s="838"/>
      <c r="H1261" s="754"/>
      <c r="I1261" s="20"/>
      <c r="J1261" s="20" t="s">
        <v>646</v>
      </c>
      <c r="K1261" s="405">
        <f>SUM(K1245:K1260)</f>
        <v>589077.20248291048</v>
      </c>
      <c r="L1261" s="20" t="s">
        <v>38</v>
      </c>
      <c r="M1261" s="433"/>
      <c r="N1261" s="420"/>
      <c r="P1261" s="412"/>
      <c r="Q1261" s="391"/>
      <c r="T1261" s="393"/>
    </row>
    <row r="1262" spans="1:20" ht="30" customHeight="1" thickBot="1" x14ac:dyDescent="0.3">
      <c r="A1262" s="61"/>
      <c r="B1262" s="61"/>
      <c r="C1262" s="63"/>
      <c r="D1262" s="63"/>
      <c r="E1262" s="63"/>
      <c r="F1262" s="63"/>
      <c r="G1262" s="445" t="s">
        <v>537</v>
      </c>
      <c r="H1262" s="63"/>
      <c r="I1262" s="18"/>
      <c r="J1262" s="361">
        <f>VLOOKUP(B1242,'Mil Cost Premiums for RUCs'!$A$4:$R$265,18,FALSE)</f>
        <v>1.0485669999999998</v>
      </c>
      <c r="K1262" s="21">
        <f>+K1261*J1262</f>
        <v>617686.91497589787</v>
      </c>
      <c r="L1262" s="61" t="s">
        <v>38</v>
      </c>
      <c r="M1262" s="1067"/>
      <c r="N1262" s="420"/>
      <c r="O1262"/>
      <c r="P1262" s="412"/>
      <c r="Q1262" s="391"/>
      <c r="T1262" s="393"/>
    </row>
    <row r="1263" spans="1:20" ht="30" customHeight="1" thickBot="1" x14ac:dyDescent="0.3">
      <c r="A1263" s="76"/>
      <c r="B1263" s="77"/>
      <c r="C1263" s="77"/>
      <c r="D1263" s="77"/>
      <c r="E1263" s="77"/>
      <c r="F1263" s="77"/>
      <c r="G1263" s="77"/>
      <c r="H1263" s="77"/>
      <c r="I1263" s="77"/>
      <c r="J1263" s="77"/>
      <c r="K1263" s="77"/>
      <c r="L1263" s="78"/>
      <c r="M1263" s="1067"/>
      <c r="N1263" s="420"/>
      <c r="O1263"/>
      <c r="P1263" s="412"/>
      <c r="Q1263" s="391"/>
      <c r="T1263" s="393"/>
    </row>
    <row r="1264" spans="1:20" ht="75" customHeight="1" x14ac:dyDescent="0.25">
      <c r="A1264" s="30" t="s">
        <v>288</v>
      </c>
      <c r="B1264" s="31">
        <v>1781</v>
      </c>
      <c r="C1264" s="863" t="s">
        <v>1184</v>
      </c>
      <c r="D1264" s="864"/>
      <c r="E1264" s="177" t="s">
        <v>291</v>
      </c>
      <c r="F1264" s="178" t="s">
        <v>38</v>
      </c>
      <c r="G1264" s="465" t="s">
        <v>1185</v>
      </c>
      <c r="H1264" s="388">
        <v>1</v>
      </c>
      <c r="I1264" s="177" t="s">
        <v>292</v>
      </c>
      <c r="J1264" s="38" t="s">
        <v>3385</v>
      </c>
      <c r="K1264" s="38"/>
      <c r="L1264" s="389"/>
      <c r="M1264" s="1067"/>
      <c r="N1264" s="420"/>
      <c r="O1264"/>
      <c r="P1264" s="412"/>
      <c r="Q1264" s="391"/>
      <c r="T1264" s="393"/>
    </row>
    <row r="1265" spans="1:20" ht="30" customHeight="1" x14ac:dyDescent="0.25">
      <c r="A1265" s="44" t="s">
        <v>913</v>
      </c>
      <c r="B1265" s="490" t="s">
        <v>560</v>
      </c>
      <c r="C1265" s="491"/>
      <c r="D1265" s="492"/>
      <c r="E1265" s="397" t="s">
        <v>519</v>
      </c>
      <c r="F1265" s="397" t="s">
        <v>561</v>
      </c>
      <c r="G1265" s="398" t="s">
        <v>562</v>
      </c>
      <c r="H1265" s="399"/>
      <c r="I1265" s="181" t="s">
        <v>530</v>
      </c>
      <c r="J1265" s="400" t="s">
        <v>533</v>
      </c>
      <c r="K1265" s="288" t="s">
        <v>521</v>
      </c>
      <c r="L1265" s="289"/>
      <c r="M1265" s="1067"/>
      <c r="N1265" s="420"/>
      <c r="O1265"/>
      <c r="P1265" s="412"/>
      <c r="Q1265" s="391"/>
      <c r="T1265" s="393"/>
    </row>
    <row r="1266" spans="1:20" ht="30" customHeight="1" x14ac:dyDescent="0.25">
      <c r="A1266" s="61">
        <v>93210</v>
      </c>
      <c r="B1266" s="236" t="s">
        <v>1186</v>
      </c>
      <c r="C1266" s="237"/>
      <c r="D1266" s="238"/>
      <c r="E1266" s="781">
        <f>+P907</f>
        <v>44.901000000000003</v>
      </c>
      <c r="F1266" s="730" t="s">
        <v>307</v>
      </c>
      <c r="G1266" s="777">
        <v>205</v>
      </c>
      <c r="H1266" s="609" t="s">
        <v>927</v>
      </c>
      <c r="I1266" s="818">
        <f>+R907</f>
        <v>0.9432470865927236</v>
      </c>
      <c r="J1266" s="20"/>
      <c r="K1266" s="405">
        <f>+E1266*G1266*I1266</f>
        <v>8682.3111741954763</v>
      </c>
      <c r="L1266" s="20" t="s">
        <v>38</v>
      </c>
      <c r="M1266" s="1067"/>
      <c r="N1266" s="420"/>
      <c r="O1266"/>
      <c r="P1266" s="412"/>
      <c r="Q1266" s="391"/>
      <c r="T1266" s="393"/>
    </row>
    <row r="1267" spans="1:20" ht="30" customHeight="1" x14ac:dyDescent="0.25">
      <c r="A1267" s="61" t="s">
        <v>849</v>
      </c>
      <c r="B1267" s="236" t="s">
        <v>1187</v>
      </c>
      <c r="C1267" s="237"/>
      <c r="D1267" s="238"/>
      <c r="E1267" s="594">
        <f>+P886</f>
        <v>8.8450000000000006</v>
      </c>
      <c r="F1267" s="730" t="s">
        <v>9</v>
      </c>
      <c r="G1267" s="777">
        <v>160</v>
      </c>
      <c r="H1267" s="609" t="s">
        <v>915</v>
      </c>
      <c r="I1267" s="20">
        <f>+R886</f>
        <v>1.04</v>
      </c>
      <c r="J1267" s="751">
        <f>+S886</f>
        <v>1.0490196078431373</v>
      </c>
      <c r="K1267" s="405">
        <f>+E1267*G1267*I1267*J1267</f>
        <v>1543.9554509803922</v>
      </c>
      <c r="L1267" s="20" t="s">
        <v>38</v>
      </c>
      <c r="M1267" s="1067"/>
      <c r="N1267" s="420"/>
      <c r="O1267"/>
      <c r="P1267" s="412"/>
      <c r="Q1267" s="391"/>
      <c r="T1267" s="393"/>
    </row>
    <row r="1268" spans="1:20" ht="30" customHeight="1" x14ac:dyDescent="0.25">
      <c r="A1268" s="61" t="s">
        <v>849</v>
      </c>
      <c r="B1268" s="236" t="s">
        <v>1188</v>
      </c>
      <c r="C1268" s="237"/>
      <c r="D1268" s="238"/>
      <c r="E1268" s="594">
        <f>+P887</f>
        <v>10.805</v>
      </c>
      <c r="F1268" s="20" t="s">
        <v>9</v>
      </c>
      <c r="G1268" s="777">
        <v>1614</v>
      </c>
      <c r="H1268" s="609" t="s">
        <v>915</v>
      </c>
      <c r="I1268" s="20">
        <f>+R887</f>
        <v>1.04</v>
      </c>
      <c r="J1268" s="751">
        <f>+S887</f>
        <v>1.0490196078431373</v>
      </c>
      <c r="K1268" s="405">
        <f>+E1268*G1268*I1268*J1268</f>
        <v>19025.901623529415</v>
      </c>
      <c r="L1268" s="20" t="s">
        <v>38</v>
      </c>
      <c r="M1268" s="1067"/>
      <c r="N1268" s="420"/>
      <c r="O1268"/>
      <c r="P1268" s="412"/>
      <c r="Q1268" s="391"/>
      <c r="T1268" s="393"/>
    </row>
    <row r="1269" spans="1:20" ht="30" customHeight="1" x14ac:dyDescent="0.25">
      <c r="A1269" s="61">
        <v>93410</v>
      </c>
      <c r="B1269" s="236" t="s">
        <v>1189</v>
      </c>
      <c r="C1269" s="237"/>
      <c r="D1269" s="238"/>
      <c r="E1269" s="781">
        <f>+P905</f>
        <v>8</v>
      </c>
      <c r="F1269" s="730" t="s">
        <v>307</v>
      </c>
      <c r="G1269" s="777">
        <v>235</v>
      </c>
      <c r="H1269" s="609" t="s">
        <v>927</v>
      </c>
      <c r="I1269" s="818">
        <f>+R905</f>
        <v>0.9432470865927236</v>
      </c>
      <c r="J1269" s="20"/>
      <c r="K1269" s="405">
        <f>+E1269*G1269*I1269</f>
        <v>1773.3045227943203</v>
      </c>
      <c r="L1269" s="20" t="s">
        <v>38</v>
      </c>
      <c r="M1269" s="1067"/>
      <c r="N1269" s="420"/>
      <c r="O1269"/>
      <c r="P1269" s="412"/>
      <c r="Q1269" s="391"/>
      <c r="T1269" s="393"/>
    </row>
    <row r="1270" spans="1:20" ht="30" customHeight="1" x14ac:dyDescent="0.25">
      <c r="A1270" s="61"/>
      <c r="B1270" s="192"/>
      <c r="C1270" s="192"/>
      <c r="D1270" s="192"/>
      <c r="E1270" s="405"/>
      <c r="F1270" s="20"/>
      <c r="G1270" s="838"/>
      <c r="H1270" s="754"/>
      <c r="I1270" s="20"/>
      <c r="J1270" s="20" t="s">
        <v>646</v>
      </c>
      <c r="K1270" s="405">
        <f>SUM(K1266:K1268)</f>
        <v>29252.168248705282</v>
      </c>
      <c r="L1270" s="20" t="s">
        <v>38</v>
      </c>
      <c r="M1270" s="1067"/>
      <c r="N1270" s="420"/>
      <c r="O1270"/>
      <c r="P1270" s="412"/>
      <c r="Q1270" s="391"/>
      <c r="T1270" s="393"/>
    </row>
    <row r="1271" spans="1:20" ht="30" customHeight="1" thickBot="1" x14ac:dyDescent="0.3">
      <c r="A1271" s="61"/>
      <c r="B1271" s="61"/>
      <c r="C1271" s="63"/>
      <c r="D1271" s="63"/>
      <c r="E1271" s="18"/>
      <c r="F1271" s="18"/>
      <c r="G1271" s="413" t="s">
        <v>537</v>
      </c>
      <c r="H1271" s="18"/>
      <c r="I1271" s="18"/>
      <c r="J1271" s="361">
        <f>VLOOKUP(B1264,'Mil Cost Premiums for RUCs'!$A$4:$R$265,18,FALSE)</f>
        <v>1.0485669999999998</v>
      </c>
      <c r="K1271" s="23">
        <f>+K1270*J1271</f>
        <v>30672.858304040146</v>
      </c>
      <c r="L1271" s="20" t="s">
        <v>38</v>
      </c>
      <c r="M1271" s="1067"/>
      <c r="N1271" s="420"/>
      <c r="O1271"/>
      <c r="P1271" s="412"/>
      <c r="Q1271" s="391"/>
      <c r="T1271" s="393"/>
    </row>
    <row r="1272" spans="1:20" ht="30" customHeight="1" thickBot="1" x14ac:dyDescent="0.3">
      <c r="A1272" s="76"/>
      <c r="B1272" s="77"/>
      <c r="C1272" s="77"/>
      <c r="D1272" s="77"/>
      <c r="E1272" s="77"/>
      <c r="F1272" s="77"/>
      <c r="G1272" s="77"/>
      <c r="H1272" s="77"/>
      <c r="I1272" s="77"/>
      <c r="J1272" s="77"/>
      <c r="K1272" s="77"/>
      <c r="L1272" s="78"/>
      <c r="N1272" s="420"/>
      <c r="O1272"/>
      <c r="P1272" s="412"/>
      <c r="Q1272" s="391"/>
      <c r="T1272" s="393"/>
    </row>
    <row r="1273" spans="1:20" ht="75" customHeight="1" x14ac:dyDescent="0.25">
      <c r="A1273" s="30" t="s">
        <v>288</v>
      </c>
      <c r="B1273" s="31">
        <v>1782</v>
      </c>
      <c r="C1273" s="863" t="s">
        <v>1190</v>
      </c>
      <c r="D1273" s="864"/>
      <c r="E1273" s="36" t="s">
        <v>291</v>
      </c>
      <c r="F1273" s="37" t="s">
        <v>38</v>
      </c>
      <c r="G1273" s="163" t="s">
        <v>1191</v>
      </c>
      <c r="H1273" s="487">
        <v>10</v>
      </c>
      <c r="I1273" s="36" t="s">
        <v>292</v>
      </c>
      <c r="J1273" s="38" t="s">
        <v>3385</v>
      </c>
      <c r="K1273" s="38"/>
      <c r="L1273" s="389"/>
      <c r="N1273" s="420"/>
      <c r="O1273"/>
      <c r="P1273" s="412"/>
      <c r="Q1273" s="391"/>
      <c r="T1273" s="393"/>
    </row>
    <row r="1274" spans="1:20" ht="30" customHeight="1" x14ac:dyDescent="0.25">
      <c r="A1274" s="44" t="s">
        <v>913</v>
      </c>
      <c r="B1274" s="490" t="s">
        <v>560</v>
      </c>
      <c r="C1274" s="491"/>
      <c r="D1274" s="492"/>
      <c r="E1274" s="793" t="s">
        <v>519</v>
      </c>
      <c r="F1274" s="793" t="s">
        <v>561</v>
      </c>
      <c r="G1274" s="626" t="s">
        <v>562</v>
      </c>
      <c r="H1274" s="627"/>
      <c r="I1274" s="181" t="s">
        <v>530</v>
      </c>
      <c r="J1274" s="400" t="s">
        <v>533</v>
      </c>
      <c r="K1274" s="507" t="s">
        <v>521</v>
      </c>
      <c r="L1274" s="508"/>
      <c r="N1274" s="420"/>
      <c r="O1274"/>
      <c r="P1274" s="412"/>
      <c r="Q1274" s="391"/>
      <c r="T1274" s="393"/>
    </row>
    <row r="1275" spans="1:20" ht="30" customHeight="1" x14ac:dyDescent="0.25">
      <c r="A1275" s="44"/>
      <c r="B1275" s="716" t="s">
        <v>1192</v>
      </c>
      <c r="C1275" s="717"/>
      <c r="D1275" s="718"/>
      <c r="E1275" s="793"/>
      <c r="F1275" s="793"/>
      <c r="G1275" s="835"/>
      <c r="H1275" s="836"/>
      <c r="I1275" s="599"/>
      <c r="J1275" s="599"/>
      <c r="K1275" s="793"/>
      <c r="L1275" s="793"/>
      <c r="M1275" s="1067"/>
      <c r="N1275" s="420"/>
      <c r="O1275"/>
      <c r="P1275" s="412"/>
      <c r="Q1275" s="391"/>
      <c r="T1275" s="393"/>
    </row>
    <row r="1276" spans="1:20" ht="30" customHeight="1" x14ac:dyDescent="0.25">
      <c r="A1276" s="61" t="s">
        <v>849</v>
      </c>
      <c r="B1276" s="236" t="s">
        <v>1193</v>
      </c>
      <c r="C1276" s="237"/>
      <c r="D1276" s="238"/>
      <c r="E1276" s="781">
        <f>+P886</f>
        <v>8.8450000000000006</v>
      </c>
      <c r="F1276" s="61" t="s">
        <v>9</v>
      </c>
      <c r="G1276" s="777">
        <f>9*62</f>
        <v>558</v>
      </c>
      <c r="H1276" s="634" t="s">
        <v>915</v>
      </c>
      <c r="I1276" s="751">
        <f>+R886</f>
        <v>1.04</v>
      </c>
      <c r="J1276" s="751">
        <f>+S886</f>
        <v>1.0490196078431373</v>
      </c>
      <c r="K1276" s="530">
        <f t="shared" ref="K1276:K1284" si="24">+E1276*G1276*I1276*J1276</f>
        <v>5384.5446352941181</v>
      </c>
      <c r="L1276" s="61" t="s">
        <v>38</v>
      </c>
      <c r="M1276" s="1067"/>
      <c r="N1276" s="420"/>
      <c r="O1276"/>
      <c r="P1276" s="412"/>
      <c r="Q1276" s="391"/>
      <c r="T1276" s="393"/>
    </row>
    <row r="1277" spans="1:20" ht="30" customHeight="1" x14ac:dyDescent="0.25">
      <c r="A1277" s="61" t="s">
        <v>916</v>
      </c>
      <c r="B1277" s="236" t="s">
        <v>917</v>
      </c>
      <c r="C1277" s="237"/>
      <c r="D1277" s="238"/>
      <c r="E1277" s="781">
        <f>+P890</f>
        <v>439.5</v>
      </c>
      <c r="F1277" s="644" t="s">
        <v>11</v>
      </c>
      <c r="G1277" s="777">
        <v>9</v>
      </c>
      <c r="H1277" s="634" t="s">
        <v>918</v>
      </c>
      <c r="I1277" s="751">
        <f>+R890</f>
        <v>1.02</v>
      </c>
      <c r="J1277" s="751">
        <f>+S890</f>
        <v>1.0490196078431373</v>
      </c>
      <c r="K1277" s="530">
        <f t="shared" si="24"/>
        <v>4232.3850000000002</v>
      </c>
      <c r="L1277" s="61" t="s">
        <v>38</v>
      </c>
      <c r="N1277" s="420"/>
      <c r="O1277"/>
      <c r="P1277" s="412"/>
      <c r="Q1277" s="391"/>
      <c r="T1277" s="393"/>
    </row>
    <row r="1278" spans="1:20" ht="30" customHeight="1" x14ac:dyDescent="0.25">
      <c r="A1278" s="61" t="s">
        <v>916</v>
      </c>
      <c r="B1278" s="192" t="s">
        <v>919</v>
      </c>
      <c r="C1278" s="192"/>
      <c r="D1278" s="192"/>
      <c r="E1278" s="781">
        <f>+P892</f>
        <v>316</v>
      </c>
      <c r="F1278" s="644" t="s">
        <v>11</v>
      </c>
      <c r="G1278" s="777">
        <v>9</v>
      </c>
      <c r="H1278" s="634" t="s">
        <v>918</v>
      </c>
      <c r="I1278" s="751">
        <f>+R892</f>
        <v>1.02</v>
      </c>
      <c r="J1278" s="751">
        <f>+S892</f>
        <v>1.0490196078431373</v>
      </c>
      <c r="K1278" s="530">
        <f t="shared" si="24"/>
        <v>3043.0800000000004</v>
      </c>
      <c r="L1278" s="61" t="s">
        <v>38</v>
      </c>
      <c r="N1278" s="420"/>
      <c r="O1278"/>
      <c r="P1278" s="412"/>
      <c r="Q1278" s="391"/>
      <c r="T1278" s="393"/>
    </row>
    <row r="1279" spans="1:20" ht="30" customHeight="1" x14ac:dyDescent="0.25">
      <c r="A1279" s="61" t="s">
        <v>849</v>
      </c>
      <c r="B1279" s="192" t="s">
        <v>1194</v>
      </c>
      <c r="C1279" s="192"/>
      <c r="D1279" s="192"/>
      <c r="E1279" s="781">
        <f>+P887</f>
        <v>10.805</v>
      </c>
      <c r="F1279" s="61" t="s">
        <v>9</v>
      </c>
      <c r="G1279" s="777">
        <f>2*468</f>
        <v>936</v>
      </c>
      <c r="H1279" s="634" t="s">
        <v>915</v>
      </c>
      <c r="I1279" s="751">
        <f>+R887</f>
        <v>1.04</v>
      </c>
      <c r="J1279" s="751">
        <f>+S887</f>
        <v>1.0490196078431373</v>
      </c>
      <c r="K1279" s="530">
        <f t="shared" si="24"/>
        <v>11033.608376470589</v>
      </c>
      <c r="L1279" s="61" t="s">
        <v>38</v>
      </c>
      <c r="M1279" s="1067"/>
      <c r="N1279" s="420"/>
      <c r="O1279"/>
      <c r="P1279" s="412"/>
      <c r="Q1279" s="391"/>
      <c r="T1279" s="393"/>
    </row>
    <row r="1280" spans="1:20" ht="30" customHeight="1" x14ac:dyDescent="0.25">
      <c r="A1280" s="61" t="s">
        <v>780</v>
      </c>
      <c r="B1280" s="192" t="s">
        <v>1094</v>
      </c>
      <c r="C1280" s="192"/>
      <c r="D1280" s="192"/>
      <c r="E1280" s="781">
        <f>+P888</f>
        <v>17.95</v>
      </c>
      <c r="F1280" s="61" t="s">
        <v>9</v>
      </c>
      <c r="G1280" s="839">
        <f>80.7*1</f>
        <v>80.7</v>
      </c>
      <c r="H1280" s="634" t="s">
        <v>915</v>
      </c>
      <c r="I1280" s="751">
        <f>+R888</f>
        <v>1.04</v>
      </c>
      <c r="J1280" s="751">
        <f>+S888</f>
        <v>1.0490196078431373</v>
      </c>
      <c r="K1280" s="530">
        <f t="shared" si="24"/>
        <v>1580.3560117647062</v>
      </c>
      <c r="L1280" s="61" t="s">
        <v>38</v>
      </c>
      <c r="M1280" s="1067"/>
      <c r="N1280" s="420"/>
      <c r="O1280"/>
      <c r="P1280" s="412"/>
      <c r="Q1280" s="391"/>
      <c r="T1280" s="393"/>
    </row>
    <row r="1281" spans="1:20" ht="30" customHeight="1" x14ac:dyDescent="0.25">
      <c r="A1281" s="61" t="s">
        <v>916</v>
      </c>
      <c r="B1281" s="192" t="s">
        <v>953</v>
      </c>
      <c r="C1281" s="192"/>
      <c r="D1281" s="192"/>
      <c r="E1281" s="781">
        <f>+P891</f>
        <v>800</v>
      </c>
      <c r="F1281" s="644" t="s">
        <v>11</v>
      </c>
      <c r="G1281" s="777">
        <v>2</v>
      </c>
      <c r="H1281" s="634" t="s">
        <v>918</v>
      </c>
      <c r="I1281" s="751">
        <f>+R891</f>
        <v>1.02</v>
      </c>
      <c r="J1281" s="751">
        <f>+S891</f>
        <v>1.0490196078431373</v>
      </c>
      <c r="K1281" s="530">
        <f t="shared" si="24"/>
        <v>1712</v>
      </c>
      <c r="L1281" s="61" t="s">
        <v>38</v>
      </c>
      <c r="M1281" s="1067"/>
      <c r="N1281" s="420"/>
      <c r="O1281"/>
      <c r="P1281" s="412"/>
      <c r="Q1281" s="391"/>
      <c r="T1281" s="393"/>
    </row>
    <row r="1282" spans="1:20" ht="30" customHeight="1" x14ac:dyDescent="0.25">
      <c r="A1282" s="61" t="s">
        <v>916</v>
      </c>
      <c r="B1282" s="192" t="s">
        <v>1004</v>
      </c>
      <c r="C1282" s="192"/>
      <c r="D1282" s="192"/>
      <c r="E1282" s="781">
        <f>+P894</f>
        <v>985</v>
      </c>
      <c r="F1282" s="644" t="s">
        <v>11</v>
      </c>
      <c r="G1282" s="777">
        <v>2</v>
      </c>
      <c r="H1282" s="634" t="s">
        <v>918</v>
      </c>
      <c r="I1282" s="751">
        <f>+R894</f>
        <v>1.02</v>
      </c>
      <c r="J1282" s="751">
        <f>+S894</f>
        <v>1.0490196078431373</v>
      </c>
      <c r="K1282" s="530">
        <f t="shared" si="24"/>
        <v>2107.9</v>
      </c>
      <c r="L1282" s="61" t="s">
        <v>38</v>
      </c>
      <c r="M1282" s="1067"/>
      <c r="N1282" s="420"/>
      <c r="O1282"/>
      <c r="P1282" s="412"/>
      <c r="Q1282" s="391"/>
      <c r="T1282" s="393"/>
    </row>
    <row r="1283" spans="1:20" s="49" customFormat="1" ht="30" customHeight="1" x14ac:dyDescent="0.25">
      <c r="A1283" s="61" t="s">
        <v>920</v>
      </c>
      <c r="B1283" s="192" t="s">
        <v>1208</v>
      </c>
      <c r="C1283" s="192"/>
      <c r="D1283" s="192"/>
      <c r="E1283" s="781">
        <f>+P895</f>
        <v>137.85</v>
      </c>
      <c r="F1283" s="644" t="s">
        <v>11</v>
      </c>
      <c r="G1283" s="777">
        <v>46</v>
      </c>
      <c r="H1283" s="609" t="s">
        <v>918</v>
      </c>
      <c r="I1283" s="751">
        <f>+R895</f>
        <v>1.02</v>
      </c>
      <c r="J1283" s="751">
        <f>+S895</f>
        <v>1.0490196078431373</v>
      </c>
      <c r="K1283" s="405">
        <f t="shared" si="24"/>
        <v>6784.9769999999999</v>
      </c>
      <c r="L1283" s="20" t="s">
        <v>38</v>
      </c>
      <c r="M1283" s="857"/>
      <c r="N1283" s="858"/>
      <c r="P1283" s="412"/>
      <c r="Q1283" s="391"/>
      <c r="T1283" s="393"/>
    </row>
    <row r="1284" spans="1:20" ht="30" customHeight="1" x14ac:dyDescent="0.25">
      <c r="A1284" s="61" t="s">
        <v>922</v>
      </c>
      <c r="B1284" s="236" t="s">
        <v>939</v>
      </c>
      <c r="C1284" s="237"/>
      <c r="D1284" s="238"/>
      <c r="E1284" s="781">
        <f>+P896</f>
        <v>17.110000000000003</v>
      </c>
      <c r="F1284" s="644" t="s">
        <v>7</v>
      </c>
      <c r="G1284" s="777">
        <v>2753</v>
      </c>
      <c r="H1284" s="609" t="s">
        <v>924</v>
      </c>
      <c r="I1284" s="751">
        <f>+R896</f>
        <v>1.02</v>
      </c>
      <c r="J1284" s="751">
        <f>+S896</f>
        <v>1.0490196078431373</v>
      </c>
      <c r="K1284" s="405">
        <f t="shared" si="24"/>
        <v>50401.09810000001</v>
      </c>
      <c r="L1284" s="20" t="s">
        <v>38</v>
      </c>
      <c r="M1284" s="857"/>
      <c r="N1284" s="858"/>
      <c r="O1284"/>
      <c r="P1284" s="412"/>
      <c r="Q1284" s="391"/>
      <c r="T1284" s="393"/>
    </row>
    <row r="1285" spans="1:20" ht="30" customHeight="1" x14ac:dyDescent="0.25">
      <c r="A1285" s="61">
        <v>93410</v>
      </c>
      <c r="B1285" s="236" t="s">
        <v>1179</v>
      </c>
      <c r="C1285" s="237"/>
      <c r="D1285" s="238"/>
      <c r="E1285" s="594">
        <f>+P906</f>
        <v>1.1000000000000001</v>
      </c>
      <c r="F1285" s="730" t="s">
        <v>3</v>
      </c>
      <c r="G1285" s="777">
        <v>1435</v>
      </c>
      <c r="H1285" s="609" t="s">
        <v>1180</v>
      </c>
      <c r="I1285" s="818">
        <f>+R906</f>
        <v>0.9432470865927236</v>
      </c>
      <c r="J1285" s="20"/>
      <c r="K1285" s="405">
        <f>+E1285*G1285*I1285</f>
        <v>1488.9155261866144</v>
      </c>
      <c r="L1285" s="20" t="s">
        <v>38</v>
      </c>
      <c r="M1285" s="1067"/>
      <c r="N1285" s="420"/>
      <c r="O1285"/>
      <c r="P1285" s="412"/>
      <c r="Q1285" s="391"/>
      <c r="T1285" s="393"/>
    </row>
    <row r="1286" spans="1:20" ht="30" customHeight="1" x14ac:dyDescent="0.25">
      <c r="A1286" s="61">
        <v>93410</v>
      </c>
      <c r="B1286" s="236" t="s">
        <v>1127</v>
      </c>
      <c r="C1286" s="237"/>
      <c r="D1286" s="238"/>
      <c r="E1286" s="781">
        <f>+P905</f>
        <v>8</v>
      </c>
      <c r="F1286" s="730" t="s">
        <v>307</v>
      </c>
      <c r="G1286" s="777">
        <v>17139</v>
      </c>
      <c r="H1286" s="609" t="s">
        <v>927</v>
      </c>
      <c r="I1286" s="818">
        <f>+R905</f>
        <v>0.9432470865927236</v>
      </c>
      <c r="J1286" s="20"/>
      <c r="K1286" s="405">
        <f>+E1286*G1286*I1286</f>
        <v>129330.49453690152</v>
      </c>
      <c r="L1286" s="20" t="s">
        <v>38</v>
      </c>
      <c r="M1286" s="1067"/>
      <c r="N1286" s="420"/>
      <c r="O1286"/>
      <c r="P1286" s="412"/>
      <c r="Q1286" s="391"/>
      <c r="T1286" s="393"/>
    </row>
    <row r="1287" spans="1:20" ht="30" customHeight="1" x14ac:dyDescent="0.25">
      <c r="A1287" s="61">
        <v>93210</v>
      </c>
      <c r="B1287" s="236" t="s">
        <v>1182</v>
      </c>
      <c r="C1287" s="237"/>
      <c r="D1287" s="238"/>
      <c r="E1287" s="781">
        <f>+P907</f>
        <v>44.901000000000003</v>
      </c>
      <c r="F1287" s="730" t="s">
        <v>307</v>
      </c>
      <c r="G1287" s="777">
        <v>431</v>
      </c>
      <c r="H1287" s="609" t="s">
        <v>927</v>
      </c>
      <c r="I1287" s="818">
        <f>+R907</f>
        <v>0.9432470865927236</v>
      </c>
      <c r="J1287" s="20"/>
      <c r="K1287" s="405">
        <f>+E1287*G1287*I1287</f>
        <v>18254.02983452805</v>
      </c>
      <c r="L1287" s="20" t="s">
        <v>38</v>
      </c>
      <c r="M1287" s="1067"/>
      <c r="N1287" s="420"/>
      <c r="O1287"/>
      <c r="P1287" s="412"/>
      <c r="Q1287" s="391"/>
      <c r="T1287" s="393"/>
    </row>
    <row r="1288" spans="1:20" ht="30" customHeight="1" x14ac:dyDescent="0.25">
      <c r="A1288" s="61" t="s">
        <v>942</v>
      </c>
      <c r="B1288" s="236" t="s">
        <v>3386</v>
      </c>
      <c r="C1288" s="237"/>
      <c r="D1288" s="238"/>
      <c r="E1288" s="594">
        <f>+P884</f>
        <v>18.05</v>
      </c>
      <c r="F1288" s="644" t="s">
        <v>9</v>
      </c>
      <c r="G1288" s="777">
        <v>4800</v>
      </c>
      <c r="H1288" s="609" t="s">
        <v>915</v>
      </c>
      <c r="I1288" s="751">
        <f>+R884</f>
        <v>1.06</v>
      </c>
      <c r="J1288" s="751">
        <f>+S884</f>
        <v>1.0490196078431373</v>
      </c>
      <c r="K1288" s="405">
        <f>+E1288*G1288*I1288*J1288</f>
        <v>96340.282352941183</v>
      </c>
      <c r="L1288" s="20" t="s">
        <v>38</v>
      </c>
      <c r="M1288" s="1855"/>
      <c r="N1288" s="420"/>
      <c r="O1288"/>
      <c r="P1288" s="412"/>
      <c r="Q1288" s="391"/>
      <c r="T1288" s="393"/>
    </row>
    <row r="1289" spans="1:20" ht="30" customHeight="1" x14ac:dyDescent="0.25">
      <c r="A1289" s="61" t="s">
        <v>849</v>
      </c>
      <c r="B1289" s="236" t="s">
        <v>1196</v>
      </c>
      <c r="C1289" s="237"/>
      <c r="D1289" s="238"/>
      <c r="E1289" s="594">
        <f>+P886</f>
        <v>8.8450000000000006</v>
      </c>
      <c r="F1289" s="644" t="s">
        <v>9</v>
      </c>
      <c r="G1289" s="777">
        <f>4*144</f>
        <v>576</v>
      </c>
      <c r="H1289" s="609" t="s">
        <v>915</v>
      </c>
      <c r="I1289" s="751">
        <f>+R886</f>
        <v>1.04</v>
      </c>
      <c r="J1289" s="751">
        <f>+S886</f>
        <v>1.0490196078431373</v>
      </c>
      <c r="K1289" s="405">
        <f>+E1289*G1289*I1289*J1289</f>
        <v>5558.2396235294127</v>
      </c>
      <c r="L1289" s="20" t="s">
        <v>38</v>
      </c>
      <c r="M1289" s="433"/>
      <c r="N1289" s="420"/>
      <c r="O1289"/>
      <c r="P1289" s="412"/>
      <c r="Q1289" s="391"/>
      <c r="T1289" s="393"/>
    </row>
    <row r="1290" spans="1:20" ht="30" customHeight="1" x14ac:dyDescent="0.25">
      <c r="A1290" s="61" t="s">
        <v>849</v>
      </c>
      <c r="B1290" s="236" t="s">
        <v>1197</v>
      </c>
      <c r="C1290" s="237"/>
      <c r="D1290" s="238"/>
      <c r="E1290" s="594">
        <f>+P887</f>
        <v>10.805</v>
      </c>
      <c r="F1290" s="61" t="s">
        <v>9</v>
      </c>
      <c r="G1290" s="777">
        <v>2152.8000000000002</v>
      </c>
      <c r="H1290" s="609" t="s">
        <v>915</v>
      </c>
      <c r="I1290" s="751">
        <f>+R887</f>
        <v>1.04</v>
      </c>
      <c r="J1290" s="751">
        <f>+S887</f>
        <v>1.0490196078431373</v>
      </c>
      <c r="K1290" s="405">
        <f>+E1290*G1290*I1290*J1290</f>
        <v>25377.299265882357</v>
      </c>
      <c r="L1290" s="20" t="s">
        <v>38</v>
      </c>
      <c r="M1290" s="1067"/>
      <c r="N1290" s="420"/>
      <c r="O1290"/>
      <c r="P1290" s="412"/>
      <c r="Q1290" s="391"/>
      <c r="T1290" s="393"/>
    </row>
    <row r="1291" spans="1:20" ht="30" customHeight="1" x14ac:dyDescent="0.25">
      <c r="A1291" s="61"/>
      <c r="B1291" s="192"/>
      <c r="C1291" s="192"/>
      <c r="D1291" s="192"/>
      <c r="E1291" s="530"/>
      <c r="F1291" s="61"/>
      <c r="G1291" s="817"/>
      <c r="H1291" s="646"/>
      <c r="I1291" s="20"/>
      <c r="J1291" s="20" t="s">
        <v>646</v>
      </c>
      <c r="K1291" s="530">
        <f>SUM(K1276:K1288)</f>
        <v>331693.67137408676</v>
      </c>
      <c r="L1291" s="61" t="s">
        <v>38</v>
      </c>
      <c r="M1291" s="1067"/>
      <c r="N1291" s="420"/>
      <c r="O1291"/>
      <c r="P1291" s="412"/>
      <c r="Q1291" s="391"/>
      <c r="T1291" s="393"/>
    </row>
    <row r="1292" spans="1:20" s="49" customFormat="1" ht="30" customHeight="1" thickBot="1" x14ac:dyDescent="0.3">
      <c r="A1292" s="61"/>
      <c r="B1292" s="61"/>
      <c r="C1292" s="63"/>
      <c r="D1292" s="63"/>
      <c r="E1292" s="63"/>
      <c r="F1292" s="63"/>
      <c r="G1292" s="445" t="s">
        <v>537</v>
      </c>
      <c r="H1292" s="63"/>
      <c r="I1292" s="18"/>
      <c r="J1292" s="361">
        <f>VLOOKUP(B1273,'Mil Cost Premiums for RUCs'!$A$4:$R$265,18,FALSE)</f>
        <v>1.0485669999999998</v>
      </c>
      <c r="K1292" s="21">
        <f>+K1291*J1292</f>
        <v>347803.03791171196</v>
      </c>
      <c r="L1292" s="61" t="s">
        <v>38</v>
      </c>
      <c r="M1292" s="1897"/>
      <c r="N1292" s="420"/>
      <c r="P1292" s="412"/>
      <c r="Q1292" s="391"/>
      <c r="T1292" s="393"/>
    </row>
    <row r="1293" spans="1:20" ht="30" customHeight="1" thickBot="1" x14ac:dyDescent="0.3">
      <c r="A1293" s="76"/>
      <c r="B1293" s="77"/>
      <c r="C1293" s="77"/>
      <c r="D1293" s="77"/>
      <c r="E1293" s="77"/>
      <c r="F1293" s="77"/>
      <c r="G1293" s="77"/>
      <c r="H1293" s="77"/>
      <c r="I1293" s="77"/>
      <c r="J1293" s="77"/>
      <c r="K1293" s="77"/>
      <c r="L1293" s="78"/>
      <c r="M1293" s="1067"/>
      <c r="N1293" s="420"/>
      <c r="O1293"/>
      <c r="P1293" s="412"/>
      <c r="Q1293" s="391"/>
      <c r="T1293" s="393"/>
    </row>
    <row r="1294" spans="1:20" ht="75" customHeight="1" x14ac:dyDescent="0.25">
      <c r="A1294" s="30" t="s">
        <v>288</v>
      </c>
      <c r="B1294" s="31">
        <v>1783</v>
      </c>
      <c r="C1294" s="863" t="s">
        <v>1198</v>
      </c>
      <c r="D1294" s="864"/>
      <c r="E1294" s="36" t="s">
        <v>291</v>
      </c>
      <c r="F1294" s="37" t="s">
        <v>38</v>
      </c>
      <c r="G1294" s="163" t="s">
        <v>1199</v>
      </c>
      <c r="H1294" s="487">
        <v>1</v>
      </c>
      <c r="I1294" s="36" t="s">
        <v>292</v>
      </c>
      <c r="J1294" s="38" t="s">
        <v>3385</v>
      </c>
      <c r="K1294" s="38"/>
      <c r="L1294" s="389"/>
      <c r="M1294" s="1067"/>
      <c r="N1294" s="420"/>
      <c r="O1294"/>
      <c r="P1294" s="412"/>
      <c r="Q1294" s="391"/>
      <c r="T1294" s="393"/>
    </row>
    <row r="1295" spans="1:20" ht="30" customHeight="1" x14ac:dyDescent="0.25">
      <c r="A1295" s="44" t="s">
        <v>913</v>
      </c>
      <c r="B1295" s="490" t="s">
        <v>560</v>
      </c>
      <c r="C1295" s="491"/>
      <c r="D1295" s="492"/>
      <c r="E1295" s="793" t="s">
        <v>519</v>
      </c>
      <c r="F1295" s="793" t="s">
        <v>561</v>
      </c>
      <c r="G1295" s="626" t="s">
        <v>562</v>
      </c>
      <c r="H1295" s="627"/>
      <c r="I1295" s="181" t="s">
        <v>530</v>
      </c>
      <c r="J1295" s="400" t="s">
        <v>533</v>
      </c>
      <c r="K1295" s="507" t="s">
        <v>521</v>
      </c>
      <c r="L1295" s="508"/>
      <c r="M1295" s="1067"/>
      <c r="N1295" s="420"/>
      <c r="O1295"/>
      <c r="P1295" s="412"/>
      <c r="Q1295" s="391"/>
      <c r="T1295" s="393"/>
    </row>
    <row r="1296" spans="1:20" ht="30" customHeight="1" x14ac:dyDescent="0.25">
      <c r="A1296" s="61" t="s">
        <v>849</v>
      </c>
      <c r="B1296" s="236" t="s">
        <v>1200</v>
      </c>
      <c r="C1296" s="237"/>
      <c r="D1296" s="238"/>
      <c r="E1296" s="594">
        <f>+P886</f>
        <v>8.8450000000000006</v>
      </c>
      <c r="F1296" s="644" t="s">
        <v>9</v>
      </c>
      <c r="G1296" s="777">
        <v>2896</v>
      </c>
      <c r="H1296" s="634" t="s">
        <v>915</v>
      </c>
      <c r="I1296" s="20">
        <f>+R886</f>
        <v>1.04</v>
      </c>
      <c r="J1296" s="751">
        <f>+S886</f>
        <v>1.0490196078431373</v>
      </c>
      <c r="K1296" s="530">
        <f>+E1296*G1296*I1296*J1296</f>
        <v>27945.593662745105</v>
      </c>
      <c r="L1296" s="61" t="s">
        <v>38</v>
      </c>
      <c r="M1296" s="1067"/>
      <c r="N1296" s="420"/>
      <c r="O1296"/>
      <c r="P1296" s="412"/>
      <c r="Q1296" s="391"/>
      <c r="T1296" s="393"/>
    </row>
    <row r="1297" spans="1:20" ht="30" customHeight="1" x14ac:dyDescent="0.25">
      <c r="A1297" s="61" t="s">
        <v>849</v>
      </c>
      <c r="B1297" s="402" t="s">
        <v>1201</v>
      </c>
      <c r="C1297" s="403"/>
      <c r="D1297" s="404"/>
      <c r="E1297" s="781">
        <f>+P887</f>
        <v>10.805</v>
      </c>
      <c r="F1297" s="61" t="s">
        <v>9</v>
      </c>
      <c r="G1297" s="777">
        <f>100*3*10.7639</f>
        <v>3229.17</v>
      </c>
      <c r="H1297" s="634" t="s">
        <v>915</v>
      </c>
      <c r="I1297" s="20">
        <f>+R887</f>
        <v>1.04</v>
      </c>
      <c r="J1297" s="751">
        <f>+S887</f>
        <v>1.0490196078431373</v>
      </c>
      <c r="K1297" s="530">
        <f>+E1297*G1297*I1297*J1297</f>
        <v>38065.595257529414</v>
      </c>
      <c r="L1297" s="61" t="s">
        <v>38</v>
      </c>
      <c r="M1297" s="1067"/>
      <c r="N1297" s="420"/>
      <c r="O1297"/>
      <c r="P1297" s="412"/>
      <c r="Q1297" s="391"/>
      <c r="T1297" s="393"/>
    </row>
    <row r="1298" spans="1:20" ht="30" customHeight="1" x14ac:dyDescent="0.25">
      <c r="A1298" s="61" t="s">
        <v>849</v>
      </c>
      <c r="B1298" s="236" t="s">
        <v>1202</v>
      </c>
      <c r="C1298" s="237"/>
      <c r="D1298" s="238"/>
      <c r="E1298" s="781">
        <f>+P887</f>
        <v>10.805</v>
      </c>
      <c r="F1298" s="61" t="s">
        <v>9</v>
      </c>
      <c r="G1298" s="777">
        <v>2153</v>
      </c>
      <c r="H1298" s="634" t="s">
        <v>915</v>
      </c>
      <c r="I1298" s="20">
        <f>+R887</f>
        <v>1.04</v>
      </c>
      <c r="J1298" s="751">
        <f>+S887</f>
        <v>1.0490196078431373</v>
      </c>
      <c r="K1298" s="530">
        <f>+E1298*G1298*I1298*J1298</f>
        <v>25379.656874509808</v>
      </c>
      <c r="L1298" s="61" t="s">
        <v>38</v>
      </c>
      <c r="M1298" s="1856"/>
      <c r="N1298" s="420"/>
      <c r="O1298"/>
      <c r="P1298" s="412"/>
      <c r="Q1298" s="391"/>
      <c r="T1298" s="393"/>
    </row>
    <row r="1299" spans="1:20" ht="30" customHeight="1" x14ac:dyDescent="0.25">
      <c r="A1299" s="61">
        <v>93410</v>
      </c>
      <c r="B1299" s="236" t="s">
        <v>1203</v>
      </c>
      <c r="C1299" s="237"/>
      <c r="D1299" s="238"/>
      <c r="E1299" s="781">
        <f>+P905</f>
        <v>8</v>
      </c>
      <c r="F1299" s="730" t="s">
        <v>307</v>
      </c>
      <c r="G1299" s="777">
        <v>2040</v>
      </c>
      <c r="H1299" s="609" t="s">
        <v>927</v>
      </c>
      <c r="I1299" s="821">
        <f>+R905</f>
        <v>0.9432470865927236</v>
      </c>
      <c r="J1299" s="20"/>
      <c r="K1299" s="530">
        <f>+E1299*G1299*I1299</f>
        <v>15393.792453193249</v>
      </c>
      <c r="L1299" s="61" t="s">
        <v>38</v>
      </c>
      <c r="M1299" s="433"/>
      <c r="N1299" s="420"/>
      <c r="O1299"/>
      <c r="P1299" s="412"/>
      <c r="Q1299" s="391"/>
      <c r="T1299" s="393"/>
    </row>
    <row r="1300" spans="1:20" ht="30" customHeight="1" x14ac:dyDescent="0.25">
      <c r="A1300" s="61"/>
      <c r="B1300" s="192"/>
      <c r="C1300" s="192"/>
      <c r="D1300" s="192"/>
      <c r="E1300" s="530"/>
      <c r="F1300" s="61"/>
      <c r="G1300" s="817"/>
      <c r="H1300" s="646"/>
      <c r="I1300" s="20"/>
      <c r="J1300" s="20" t="s">
        <v>646</v>
      </c>
      <c r="K1300" s="530">
        <f>SUM(K1296:K1297)</f>
        <v>66011.188920274522</v>
      </c>
      <c r="L1300" s="61" t="s">
        <v>38</v>
      </c>
      <c r="M1300" s="856"/>
      <c r="N1300" s="420"/>
      <c r="O1300"/>
      <c r="P1300" s="412"/>
      <c r="Q1300" s="391"/>
      <c r="T1300" s="393"/>
    </row>
    <row r="1301" spans="1:20" ht="30" customHeight="1" thickBot="1" x14ac:dyDescent="0.3">
      <c r="A1301" s="61"/>
      <c r="B1301" s="61"/>
      <c r="C1301" s="63"/>
      <c r="D1301" s="63"/>
      <c r="E1301" s="63"/>
      <c r="F1301" s="63"/>
      <c r="G1301" s="445" t="s">
        <v>537</v>
      </c>
      <c r="H1301" s="63"/>
      <c r="I1301" s="18"/>
      <c r="J1301" s="361">
        <f>VLOOKUP(B1294,'Mil Cost Premiums for RUCs'!$A$4:$R$265,18,FALSE)</f>
        <v>1.0485669999999998</v>
      </c>
      <c r="K1301" s="21">
        <f>+K1300*J1301</f>
        <v>69217.154332565478</v>
      </c>
      <c r="L1301" s="61" t="s">
        <v>38</v>
      </c>
      <c r="M1301" s="873"/>
      <c r="N1301" s="420"/>
      <c r="O1301"/>
      <c r="P1301" s="412"/>
      <c r="Q1301" s="391"/>
      <c r="T1301" s="393"/>
    </row>
    <row r="1302" spans="1:20" ht="30" customHeight="1" thickBot="1" x14ac:dyDescent="0.3">
      <c r="A1302" s="76"/>
      <c r="B1302" s="77"/>
      <c r="C1302" s="77"/>
      <c r="D1302" s="77"/>
      <c r="E1302" s="77"/>
      <c r="F1302" s="77"/>
      <c r="G1302" s="77"/>
      <c r="H1302" s="77"/>
      <c r="I1302" s="77"/>
      <c r="J1302" s="77"/>
      <c r="K1302" s="77"/>
      <c r="L1302" s="78"/>
      <c r="M1302" s="1067"/>
      <c r="N1302" s="420"/>
      <c r="O1302"/>
      <c r="P1302" s="412"/>
      <c r="Q1302" s="391"/>
      <c r="T1302" s="393"/>
    </row>
    <row r="1303" spans="1:20" ht="75" customHeight="1" x14ac:dyDescent="0.25">
      <c r="A1303" s="30" t="s">
        <v>288</v>
      </c>
      <c r="B1303" s="31">
        <v>1790</v>
      </c>
      <c r="C1303" s="863" t="s">
        <v>1204</v>
      </c>
      <c r="D1303" s="864"/>
      <c r="E1303" s="36" t="s">
        <v>291</v>
      </c>
      <c r="F1303" s="37" t="s">
        <v>11</v>
      </c>
      <c r="G1303" s="163" t="s">
        <v>1191</v>
      </c>
      <c r="H1303" s="487">
        <v>1</v>
      </c>
      <c r="I1303" s="36" t="s">
        <v>292</v>
      </c>
      <c r="J1303" s="38" t="s">
        <v>3385</v>
      </c>
      <c r="K1303" s="38"/>
      <c r="L1303" s="389"/>
      <c r="M1303" s="1067"/>
      <c r="N1303" s="420"/>
      <c r="O1303"/>
      <c r="P1303" s="412"/>
      <c r="Q1303" s="391"/>
      <c r="T1303" s="393"/>
    </row>
    <row r="1304" spans="1:20" ht="30" customHeight="1" x14ac:dyDescent="0.25">
      <c r="A1304" s="44" t="s">
        <v>913</v>
      </c>
      <c r="B1304" s="394" t="s">
        <v>560</v>
      </c>
      <c r="C1304" s="395"/>
      <c r="D1304" s="396"/>
      <c r="E1304" s="397" t="s">
        <v>519</v>
      </c>
      <c r="F1304" s="397" t="s">
        <v>561</v>
      </c>
      <c r="G1304" s="398" t="s">
        <v>562</v>
      </c>
      <c r="H1304" s="399"/>
      <c r="I1304" s="181" t="s">
        <v>530</v>
      </c>
      <c r="J1304" s="400" t="s">
        <v>533</v>
      </c>
      <c r="K1304" s="507" t="s">
        <v>521</v>
      </c>
      <c r="L1304" s="508"/>
      <c r="M1304" s="1067"/>
      <c r="N1304" s="420"/>
      <c r="O1304"/>
      <c r="P1304" s="412"/>
      <c r="Q1304" s="391"/>
      <c r="T1304" s="393"/>
    </row>
    <row r="1305" spans="1:20" ht="30" customHeight="1" x14ac:dyDescent="0.25">
      <c r="A1305" s="44"/>
      <c r="B1305" s="402" t="s">
        <v>1205</v>
      </c>
      <c r="C1305" s="874"/>
      <c r="D1305" s="875"/>
      <c r="E1305" s="397"/>
      <c r="F1305" s="397"/>
      <c r="G1305" s="774"/>
      <c r="H1305" s="775"/>
      <c r="I1305" s="181"/>
      <c r="J1305" s="400"/>
      <c r="K1305" s="871"/>
      <c r="L1305" s="872"/>
      <c r="M1305" s="1067"/>
      <c r="N1305" s="420"/>
      <c r="O1305"/>
      <c r="P1305" s="412"/>
      <c r="Q1305" s="391"/>
      <c r="T1305" s="393"/>
    </row>
    <row r="1306" spans="1:20" ht="30" customHeight="1" x14ac:dyDescent="0.25">
      <c r="A1306" s="61" t="s">
        <v>849</v>
      </c>
      <c r="B1306" s="402" t="s">
        <v>1206</v>
      </c>
      <c r="C1306" s="403"/>
      <c r="D1306" s="404"/>
      <c r="E1306" s="781">
        <f>+P886</f>
        <v>8.8450000000000006</v>
      </c>
      <c r="F1306" s="20" t="s">
        <v>9</v>
      </c>
      <c r="G1306" s="777">
        <f>6*62</f>
        <v>372</v>
      </c>
      <c r="H1306" s="609" t="s">
        <v>1062</v>
      </c>
      <c r="I1306" s="751">
        <f>+R886</f>
        <v>1.04</v>
      </c>
      <c r="J1306" s="751">
        <f>+S886</f>
        <v>1.0490196078431373</v>
      </c>
      <c r="K1306" s="530">
        <f t="shared" ref="K1306:K1313" si="25">+E1306*G1306*I1306*J1306</f>
        <v>3589.6964235294122</v>
      </c>
      <c r="L1306" s="61" t="s">
        <v>11</v>
      </c>
      <c r="M1306" s="873"/>
      <c r="N1306" s="420"/>
      <c r="O1306"/>
      <c r="P1306" s="412"/>
      <c r="Q1306" s="391"/>
      <c r="T1306" s="393"/>
    </row>
    <row r="1307" spans="1:20" ht="30" customHeight="1" x14ac:dyDescent="0.25">
      <c r="A1307" s="61" t="s">
        <v>916</v>
      </c>
      <c r="B1307" s="402" t="s">
        <v>917</v>
      </c>
      <c r="C1307" s="403"/>
      <c r="D1307" s="404"/>
      <c r="E1307" s="781">
        <f>+P890</f>
        <v>439.5</v>
      </c>
      <c r="F1307" s="730" t="s">
        <v>11</v>
      </c>
      <c r="G1307" s="777">
        <v>6</v>
      </c>
      <c r="H1307" s="609" t="s">
        <v>1063</v>
      </c>
      <c r="I1307" s="751">
        <f>+R890</f>
        <v>1.02</v>
      </c>
      <c r="J1307" s="751">
        <f>+S890</f>
        <v>1.0490196078431373</v>
      </c>
      <c r="K1307" s="530">
        <f t="shared" si="25"/>
        <v>2821.5900000000006</v>
      </c>
      <c r="L1307" s="61" t="s">
        <v>11</v>
      </c>
      <c r="N1307" s="420"/>
      <c r="O1307"/>
      <c r="P1307" s="412"/>
      <c r="Q1307" s="391"/>
      <c r="T1307" s="393"/>
    </row>
    <row r="1308" spans="1:20" ht="30" customHeight="1" x14ac:dyDescent="0.25">
      <c r="A1308" s="61" t="s">
        <v>916</v>
      </c>
      <c r="B1308" s="402" t="s">
        <v>919</v>
      </c>
      <c r="C1308" s="403"/>
      <c r="D1308" s="404"/>
      <c r="E1308" s="781">
        <f>+P892</f>
        <v>316</v>
      </c>
      <c r="F1308" s="730" t="s">
        <v>11</v>
      </c>
      <c r="G1308" s="777">
        <v>6</v>
      </c>
      <c r="H1308" s="609" t="s">
        <v>1063</v>
      </c>
      <c r="I1308" s="751">
        <f>+R892</f>
        <v>1.02</v>
      </c>
      <c r="J1308" s="751">
        <f>+S892</f>
        <v>1.0490196078431373</v>
      </c>
      <c r="K1308" s="530">
        <f t="shared" si="25"/>
        <v>2028.7200000000003</v>
      </c>
      <c r="L1308" s="61" t="s">
        <v>11</v>
      </c>
      <c r="N1308" s="420"/>
      <c r="O1308"/>
      <c r="P1308" s="412"/>
      <c r="Q1308" s="391"/>
      <c r="T1308" s="393"/>
    </row>
    <row r="1309" spans="1:20" ht="30" customHeight="1" x14ac:dyDescent="0.25">
      <c r="A1309" s="61" t="s">
        <v>849</v>
      </c>
      <c r="B1309" s="402" t="s">
        <v>1207</v>
      </c>
      <c r="C1309" s="403"/>
      <c r="D1309" s="404"/>
      <c r="E1309" s="781">
        <f>+P887</f>
        <v>10.805</v>
      </c>
      <c r="F1309" s="20" t="s">
        <v>9</v>
      </c>
      <c r="G1309" s="777">
        <f>2*468</f>
        <v>936</v>
      </c>
      <c r="H1309" s="609" t="s">
        <v>1062</v>
      </c>
      <c r="I1309" s="751">
        <f>+R887</f>
        <v>1.04</v>
      </c>
      <c r="J1309" s="751">
        <f>+S887</f>
        <v>1.0490196078431373</v>
      </c>
      <c r="K1309" s="530">
        <f t="shared" si="25"/>
        <v>11033.608376470589</v>
      </c>
      <c r="L1309" s="61" t="s">
        <v>11</v>
      </c>
      <c r="M1309" s="1067"/>
      <c r="N1309" s="420"/>
      <c r="O1309"/>
      <c r="P1309" s="412"/>
      <c r="Q1309" s="391"/>
      <c r="T1309" s="393"/>
    </row>
    <row r="1310" spans="1:20" ht="30" customHeight="1" x14ac:dyDescent="0.25">
      <c r="A1310" s="61" t="s">
        <v>916</v>
      </c>
      <c r="B1310" s="402" t="s">
        <v>953</v>
      </c>
      <c r="C1310" s="403"/>
      <c r="D1310" s="404"/>
      <c r="E1310" s="781">
        <f>+P891</f>
        <v>800</v>
      </c>
      <c r="F1310" s="730" t="s">
        <v>11</v>
      </c>
      <c r="G1310" s="777">
        <v>2</v>
      </c>
      <c r="H1310" s="609" t="s">
        <v>1063</v>
      </c>
      <c r="I1310" s="751">
        <f>+R891</f>
        <v>1.02</v>
      </c>
      <c r="J1310" s="751">
        <f>+S891</f>
        <v>1.0490196078431373</v>
      </c>
      <c r="K1310" s="530">
        <f t="shared" si="25"/>
        <v>1712</v>
      </c>
      <c r="L1310" s="61" t="s">
        <v>11</v>
      </c>
      <c r="M1310" s="1067"/>
      <c r="N1310" s="420"/>
      <c r="O1310"/>
      <c r="P1310" s="412"/>
      <c r="Q1310" s="391"/>
      <c r="T1310" s="393"/>
    </row>
    <row r="1311" spans="1:20" ht="30" customHeight="1" x14ac:dyDescent="0.25">
      <c r="A1311" s="61" t="s">
        <v>916</v>
      </c>
      <c r="B1311" s="402" t="s">
        <v>1004</v>
      </c>
      <c r="C1311" s="403"/>
      <c r="D1311" s="404"/>
      <c r="E1311" s="781">
        <f>+P894</f>
        <v>985</v>
      </c>
      <c r="F1311" s="730" t="s">
        <v>11</v>
      </c>
      <c r="G1311" s="777">
        <v>2</v>
      </c>
      <c r="H1311" s="609" t="s">
        <v>1063</v>
      </c>
      <c r="I1311" s="751">
        <f>+R894</f>
        <v>1.02</v>
      </c>
      <c r="J1311" s="751">
        <f>+S894</f>
        <v>1.0490196078431373</v>
      </c>
      <c r="K1311" s="530">
        <f t="shared" si="25"/>
        <v>2107.9</v>
      </c>
      <c r="L1311" s="61" t="s">
        <v>11</v>
      </c>
      <c r="M1311" s="1067"/>
      <c r="N1311" s="420"/>
      <c r="O1311"/>
      <c r="P1311" s="412"/>
      <c r="Q1311" s="391"/>
      <c r="T1311" s="393"/>
    </row>
    <row r="1312" spans="1:20" ht="30" customHeight="1" x14ac:dyDescent="0.25">
      <c r="A1312" s="61" t="s">
        <v>920</v>
      </c>
      <c r="B1312" s="191" t="s">
        <v>1208</v>
      </c>
      <c r="C1312" s="191"/>
      <c r="D1312" s="191"/>
      <c r="E1312" s="781">
        <f>+P895</f>
        <v>137.85</v>
      </c>
      <c r="F1312" s="730" t="s">
        <v>11</v>
      </c>
      <c r="G1312" s="777">
        <f>6*4+2*5</f>
        <v>34</v>
      </c>
      <c r="H1312" s="609" t="s">
        <v>1063</v>
      </c>
      <c r="I1312" s="751">
        <f>+R895</f>
        <v>1.02</v>
      </c>
      <c r="J1312" s="751">
        <f>+S895</f>
        <v>1.0490196078431373</v>
      </c>
      <c r="K1312" s="530">
        <f t="shared" si="25"/>
        <v>5014.9830000000002</v>
      </c>
      <c r="L1312" s="61" t="s">
        <v>11</v>
      </c>
      <c r="M1312" s="1067"/>
      <c r="N1312" s="420"/>
      <c r="O1312"/>
      <c r="P1312" s="412"/>
      <c r="Q1312" s="391"/>
      <c r="T1312" s="393"/>
    </row>
    <row r="1313" spans="1:20" s="49" customFormat="1" ht="30" customHeight="1" x14ac:dyDescent="0.25">
      <c r="A1313" s="61" t="s">
        <v>922</v>
      </c>
      <c r="B1313" s="402" t="s">
        <v>939</v>
      </c>
      <c r="C1313" s="403"/>
      <c r="D1313" s="404"/>
      <c r="E1313" s="781">
        <f>+P896</f>
        <v>17.110000000000003</v>
      </c>
      <c r="F1313" s="730" t="s">
        <v>7</v>
      </c>
      <c r="G1313" s="777">
        <v>905</v>
      </c>
      <c r="H1313" s="609" t="s">
        <v>1066</v>
      </c>
      <c r="I1313" s="751">
        <f>+R896</f>
        <v>1.02</v>
      </c>
      <c r="J1313" s="751">
        <f>+S896</f>
        <v>1.0490196078431373</v>
      </c>
      <c r="K1313" s="530">
        <f t="shared" si="25"/>
        <v>16568.468500000006</v>
      </c>
      <c r="L1313" s="61" t="s">
        <v>11</v>
      </c>
      <c r="M1313" s="873"/>
      <c r="N1313" s="420"/>
      <c r="P1313" s="412"/>
      <c r="Q1313" s="391"/>
      <c r="T1313" s="393"/>
    </row>
    <row r="1314" spans="1:20" ht="30" customHeight="1" x14ac:dyDescent="0.25">
      <c r="A1314" s="61">
        <v>93410</v>
      </c>
      <c r="B1314" s="402" t="s">
        <v>1209</v>
      </c>
      <c r="C1314" s="403"/>
      <c r="D1314" s="404"/>
      <c r="E1314" s="594">
        <f>+P906</f>
        <v>1.1000000000000001</v>
      </c>
      <c r="F1314" s="730" t="s">
        <v>3</v>
      </c>
      <c r="G1314" s="777">
        <v>1913</v>
      </c>
      <c r="H1314" s="609" t="s">
        <v>1067</v>
      </c>
      <c r="I1314" s="818">
        <f>+R906</f>
        <v>0.9432470865927236</v>
      </c>
      <c r="J1314" s="20"/>
      <c r="K1314" s="530">
        <f>+E1314*G1314*I1314</f>
        <v>1984.8748443170684</v>
      </c>
      <c r="L1314" s="61" t="s">
        <v>11</v>
      </c>
      <c r="M1314" s="1067"/>
      <c r="N1314" s="420"/>
      <c r="O1314"/>
      <c r="P1314" s="412"/>
      <c r="Q1314" s="391"/>
      <c r="T1314" s="393"/>
    </row>
    <row r="1315" spans="1:20" ht="30" customHeight="1" x14ac:dyDescent="0.25">
      <c r="A1315" s="61">
        <v>93410</v>
      </c>
      <c r="B1315" s="402" t="s">
        <v>1210</v>
      </c>
      <c r="C1315" s="403"/>
      <c r="D1315" s="404"/>
      <c r="E1315" s="781">
        <f>+P905</f>
        <v>8</v>
      </c>
      <c r="F1315" s="730" t="s">
        <v>307</v>
      </c>
      <c r="G1315" s="777">
        <v>1046</v>
      </c>
      <c r="H1315" s="609" t="s">
        <v>1070</v>
      </c>
      <c r="I1315" s="818">
        <f>+R905</f>
        <v>0.9432470865927236</v>
      </c>
      <c r="J1315" s="20"/>
      <c r="K1315" s="530">
        <f>+E1315*G1315*I1315</f>
        <v>7893.091620607911</v>
      </c>
      <c r="L1315" s="61" t="s">
        <v>11</v>
      </c>
      <c r="M1315" s="1939"/>
      <c r="N1315" s="1965"/>
      <c r="O1315"/>
      <c r="P1315" s="412"/>
      <c r="Q1315" s="391"/>
      <c r="T1315" s="393"/>
    </row>
    <row r="1316" spans="1:20" ht="30" customHeight="1" x14ac:dyDescent="0.25">
      <c r="A1316" s="61">
        <v>93210</v>
      </c>
      <c r="B1316" s="402" t="s">
        <v>1211</v>
      </c>
      <c r="C1316" s="403"/>
      <c r="D1316" s="404"/>
      <c r="E1316" s="781">
        <f>+P907</f>
        <v>44.901000000000003</v>
      </c>
      <c r="F1316" s="730" t="s">
        <v>307</v>
      </c>
      <c r="G1316" s="777">
        <v>628</v>
      </c>
      <c r="H1316" s="609" t="s">
        <v>1070</v>
      </c>
      <c r="I1316" s="818">
        <f>+R907</f>
        <v>0.9432470865927236</v>
      </c>
      <c r="J1316" s="20"/>
      <c r="K1316" s="530">
        <f>+E1316*G1316*I1316</f>
        <v>26597.519109242727</v>
      </c>
      <c r="L1316" s="61" t="s">
        <v>11</v>
      </c>
      <c r="M1316" s="856"/>
      <c r="N1316" s="420"/>
      <c r="O1316"/>
      <c r="P1316" s="412"/>
      <c r="Q1316" s="391"/>
      <c r="T1316" s="393"/>
    </row>
    <row r="1317" spans="1:20" ht="30" customHeight="1" x14ac:dyDescent="0.25">
      <c r="A1317" s="61" t="s">
        <v>942</v>
      </c>
      <c r="B1317" s="236" t="s">
        <v>1195</v>
      </c>
      <c r="C1317" s="237"/>
      <c r="D1317" s="238"/>
      <c r="E1317" s="594">
        <f>+P884</f>
        <v>18.05</v>
      </c>
      <c r="F1317" s="644" t="s">
        <v>9</v>
      </c>
      <c r="G1317" s="777">
        <v>800</v>
      </c>
      <c r="H1317" s="634" t="s">
        <v>1062</v>
      </c>
      <c r="I1317" s="751">
        <f>+R884</f>
        <v>1.06</v>
      </c>
      <c r="J1317" s="751">
        <f>+S884</f>
        <v>1.0490196078431373</v>
      </c>
      <c r="K1317" s="530">
        <f>+E1317*G1317*I1317*J1317</f>
        <v>16056.713725490199</v>
      </c>
      <c r="L1317" s="61" t="s">
        <v>11</v>
      </c>
      <c r="M1317" s="1855"/>
      <c r="N1317" s="420"/>
      <c r="O1317"/>
      <c r="P1317" s="412"/>
      <c r="Q1317" s="391"/>
      <c r="T1317" s="393"/>
    </row>
    <row r="1318" spans="1:20" ht="30" customHeight="1" x14ac:dyDescent="0.25">
      <c r="A1318" s="61" t="s">
        <v>849</v>
      </c>
      <c r="B1318" s="236" t="s">
        <v>1212</v>
      </c>
      <c r="C1318" s="237"/>
      <c r="D1318" s="238"/>
      <c r="E1318" s="594">
        <f>+P886</f>
        <v>8.8450000000000006</v>
      </c>
      <c r="F1318" s="644" t="s">
        <v>9</v>
      </c>
      <c r="G1318" s="777">
        <f>2*144</f>
        <v>288</v>
      </c>
      <c r="H1318" s="609" t="s">
        <v>1062</v>
      </c>
      <c r="I1318" s="20">
        <f>+R886</f>
        <v>1.04</v>
      </c>
      <c r="J1318" s="751">
        <f>+S886</f>
        <v>1.0490196078431373</v>
      </c>
      <c r="K1318" s="530">
        <f>+E1318*G1318*I1318*J1318</f>
        <v>2779.1198117647064</v>
      </c>
      <c r="L1318" s="61" t="s">
        <v>11</v>
      </c>
      <c r="M1318" s="873"/>
      <c r="N1318" s="420"/>
      <c r="O1318"/>
      <c r="P1318" s="412"/>
      <c r="Q1318" s="391"/>
      <c r="T1318" s="393"/>
    </row>
    <row r="1319" spans="1:20" ht="30" customHeight="1" x14ac:dyDescent="0.25">
      <c r="A1319" s="61"/>
      <c r="B1319" s="854" t="s">
        <v>1213</v>
      </c>
      <c r="C1319" s="709"/>
      <c r="D1319" s="710"/>
      <c r="E1319" s="530"/>
      <c r="F1319" s="61"/>
      <c r="G1319" s="838"/>
      <c r="H1319" s="754"/>
      <c r="I1319" s="20"/>
      <c r="J1319" s="20" t="s">
        <v>646</v>
      </c>
      <c r="K1319" s="530">
        <f>SUM(K1306:K1318)</f>
        <v>100188.28541142262</v>
      </c>
      <c r="L1319" s="61" t="s">
        <v>11</v>
      </c>
      <c r="M1319" s="1067"/>
      <c r="N1319" s="420"/>
      <c r="O1319"/>
      <c r="P1319" s="412"/>
      <c r="Q1319" s="391"/>
      <c r="T1319" s="393"/>
    </row>
    <row r="1320" spans="1:20" ht="30" customHeight="1" thickBot="1" x14ac:dyDescent="0.3">
      <c r="A1320" s="61"/>
      <c r="B1320" s="876"/>
      <c r="C1320" s="877"/>
      <c r="D1320" s="878"/>
      <c r="E1320" s="63"/>
      <c r="F1320" s="63"/>
      <c r="G1320" s="413" t="s">
        <v>537</v>
      </c>
      <c r="H1320" s="18"/>
      <c r="I1320" s="18"/>
      <c r="J1320" s="361">
        <f>VLOOKUP(B1303,'Mil Cost Premiums for RUCs'!$A$4:$R$265,18,FALSE)</f>
        <v>1.0485669999999998</v>
      </c>
      <c r="K1320" s="21">
        <f>+K1319*J1320</f>
        <v>105054.12986899917</v>
      </c>
      <c r="L1320" s="61" t="s">
        <v>11</v>
      </c>
      <c r="M1320" s="1067"/>
      <c r="N1320" s="420"/>
      <c r="O1320"/>
      <c r="P1320" s="412"/>
      <c r="Q1320" s="391"/>
      <c r="T1320" s="393"/>
    </row>
    <row r="1321" spans="1:20" ht="30" customHeight="1" thickBot="1" x14ac:dyDescent="0.3">
      <c r="A1321" s="76"/>
      <c r="B1321" s="77"/>
      <c r="C1321" s="77"/>
      <c r="D1321" s="77"/>
      <c r="E1321" s="77"/>
      <c r="F1321" s="77"/>
      <c r="G1321" s="77"/>
      <c r="H1321" s="77"/>
      <c r="I1321" s="77"/>
      <c r="J1321" s="77"/>
      <c r="K1321" s="77"/>
      <c r="L1321" s="78"/>
      <c r="M1321" s="873"/>
      <c r="N1321" s="420"/>
      <c r="O1321"/>
      <c r="P1321" s="412"/>
      <c r="Q1321" s="391"/>
      <c r="T1321" s="393"/>
    </row>
    <row r="1322" spans="1:20" s="49" customFormat="1" ht="75" customHeight="1" x14ac:dyDescent="0.25">
      <c r="A1322" s="30" t="s">
        <v>288</v>
      </c>
      <c r="B1322" s="31">
        <v>1791</v>
      </c>
      <c r="C1322" s="863" t="s">
        <v>1214</v>
      </c>
      <c r="D1322" s="864"/>
      <c r="E1322" s="36" t="s">
        <v>291</v>
      </c>
      <c r="F1322" s="37" t="s">
        <v>11</v>
      </c>
      <c r="G1322" s="163" t="s">
        <v>1215</v>
      </c>
      <c r="H1322" s="487">
        <v>1</v>
      </c>
      <c r="I1322" s="36" t="s">
        <v>292</v>
      </c>
      <c r="J1322" s="38" t="s">
        <v>3385</v>
      </c>
      <c r="K1322" s="38"/>
      <c r="L1322" s="389"/>
      <c r="M1322" s="1897"/>
      <c r="N1322" s="420"/>
      <c r="P1322" s="412"/>
      <c r="Q1322" s="391"/>
      <c r="T1322" s="393"/>
    </row>
    <row r="1323" spans="1:20" s="49" customFormat="1" ht="30" customHeight="1" x14ac:dyDescent="0.25">
      <c r="A1323" s="44" t="s">
        <v>913</v>
      </c>
      <c r="B1323" s="490" t="s">
        <v>560</v>
      </c>
      <c r="C1323" s="491"/>
      <c r="D1323" s="492"/>
      <c r="E1323" s="397" t="s">
        <v>519</v>
      </c>
      <c r="F1323" s="397" t="s">
        <v>561</v>
      </c>
      <c r="G1323" s="398" t="s">
        <v>562</v>
      </c>
      <c r="H1323" s="399"/>
      <c r="I1323" s="181" t="s">
        <v>530</v>
      </c>
      <c r="J1323" s="400" t="s">
        <v>533</v>
      </c>
      <c r="K1323" s="507" t="s">
        <v>521</v>
      </c>
      <c r="L1323" s="508"/>
      <c r="M1323" s="1897"/>
      <c r="N1323" s="420"/>
      <c r="P1323" s="412"/>
      <c r="Q1323" s="391"/>
      <c r="T1323" s="393"/>
    </row>
    <row r="1324" spans="1:20" ht="30" customHeight="1" x14ac:dyDescent="0.25">
      <c r="A1324" s="44"/>
      <c r="B1324" s="716" t="s">
        <v>1216</v>
      </c>
      <c r="C1324" s="717"/>
      <c r="D1324" s="718"/>
      <c r="E1324" s="397"/>
      <c r="F1324" s="397"/>
      <c r="G1324" s="774"/>
      <c r="H1324" s="775"/>
      <c r="I1324" s="599"/>
      <c r="J1324" s="599"/>
      <c r="K1324" s="793"/>
      <c r="L1324" s="793"/>
      <c r="M1324" s="1067"/>
      <c r="N1324" s="420"/>
      <c r="O1324"/>
      <c r="P1324" s="412"/>
      <c r="Q1324" s="391"/>
      <c r="T1324" s="393"/>
    </row>
    <row r="1325" spans="1:20" ht="30" customHeight="1" x14ac:dyDescent="0.25">
      <c r="A1325" s="61" t="s">
        <v>849</v>
      </c>
      <c r="B1325" s="236" t="s">
        <v>1217</v>
      </c>
      <c r="C1325" s="237"/>
      <c r="D1325" s="238"/>
      <c r="E1325" s="781">
        <f>+P886</f>
        <v>8.8450000000000006</v>
      </c>
      <c r="F1325" s="20" t="s">
        <v>9</v>
      </c>
      <c r="G1325" s="777">
        <f>8*62</f>
        <v>496</v>
      </c>
      <c r="H1325" s="609" t="s">
        <v>1062</v>
      </c>
      <c r="I1325" s="751">
        <f>+R886</f>
        <v>1.04</v>
      </c>
      <c r="J1325" s="751">
        <f>+S886</f>
        <v>1.0490196078431373</v>
      </c>
      <c r="K1325" s="530">
        <f t="shared" ref="K1325:K1332" si="26">+E1325*G1325*I1325*J1325</f>
        <v>4786.2618980392162</v>
      </c>
      <c r="L1325" s="61" t="s">
        <v>11</v>
      </c>
      <c r="M1325" s="1067"/>
      <c r="N1325" s="420"/>
      <c r="O1325"/>
      <c r="P1325" s="412"/>
      <c r="Q1325" s="391"/>
      <c r="T1325" s="393"/>
    </row>
    <row r="1326" spans="1:20" ht="30" customHeight="1" x14ac:dyDescent="0.25">
      <c r="A1326" s="61" t="s">
        <v>916</v>
      </c>
      <c r="B1326" s="236" t="s">
        <v>917</v>
      </c>
      <c r="C1326" s="237"/>
      <c r="D1326" s="238"/>
      <c r="E1326" s="781">
        <f>+P890</f>
        <v>439.5</v>
      </c>
      <c r="F1326" s="730" t="s">
        <v>11</v>
      </c>
      <c r="G1326" s="777">
        <v>8</v>
      </c>
      <c r="H1326" s="609" t="s">
        <v>1063</v>
      </c>
      <c r="I1326" s="751">
        <f>+R890</f>
        <v>1.02</v>
      </c>
      <c r="J1326" s="751">
        <f>+S890</f>
        <v>1.0490196078431373</v>
      </c>
      <c r="K1326" s="530">
        <f t="shared" si="26"/>
        <v>3762.1200000000003</v>
      </c>
      <c r="L1326" s="61" t="s">
        <v>11</v>
      </c>
      <c r="M1326" s="1067"/>
      <c r="N1326" s="420"/>
      <c r="O1326"/>
      <c r="P1326" s="412"/>
      <c r="Q1326" s="391"/>
      <c r="T1326" s="393"/>
    </row>
    <row r="1327" spans="1:20" ht="30" customHeight="1" x14ac:dyDescent="0.25">
      <c r="A1327" s="61" t="s">
        <v>916</v>
      </c>
      <c r="B1327" s="236" t="s">
        <v>919</v>
      </c>
      <c r="C1327" s="237"/>
      <c r="D1327" s="238"/>
      <c r="E1327" s="781">
        <f>+P892</f>
        <v>316</v>
      </c>
      <c r="F1327" s="730" t="s">
        <v>11</v>
      </c>
      <c r="G1327" s="777">
        <v>8</v>
      </c>
      <c r="H1327" s="609" t="s">
        <v>1063</v>
      </c>
      <c r="I1327" s="751">
        <f>+R892</f>
        <v>1.02</v>
      </c>
      <c r="J1327" s="751">
        <f>+S892</f>
        <v>1.0490196078431373</v>
      </c>
      <c r="K1327" s="530">
        <f t="shared" si="26"/>
        <v>2704.96</v>
      </c>
      <c r="L1327" s="61" t="s">
        <v>11</v>
      </c>
      <c r="M1327" s="1067"/>
      <c r="N1327" s="420"/>
      <c r="O1327"/>
      <c r="P1327" s="412"/>
      <c r="Q1327" s="391"/>
      <c r="T1327" s="393"/>
    </row>
    <row r="1328" spans="1:20" ht="30" customHeight="1" x14ac:dyDescent="0.25">
      <c r="A1328" s="61" t="s">
        <v>849</v>
      </c>
      <c r="B1328" s="236" t="s">
        <v>1218</v>
      </c>
      <c r="C1328" s="237"/>
      <c r="D1328" s="238"/>
      <c r="E1328" s="781">
        <f>+P887</f>
        <v>10.805</v>
      </c>
      <c r="F1328" s="20" t="s">
        <v>9</v>
      </c>
      <c r="G1328" s="777">
        <f>8*468</f>
        <v>3744</v>
      </c>
      <c r="H1328" s="609" t="s">
        <v>1062</v>
      </c>
      <c r="I1328" s="751">
        <f>+R887</f>
        <v>1.04</v>
      </c>
      <c r="J1328" s="751">
        <f>+S887</f>
        <v>1.0490196078431373</v>
      </c>
      <c r="K1328" s="530">
        <f t="shared" si="26"/>
        <v>44134.433505882356</v>
      </c>
      <c r="L1328" s="61" t="s">
        <v>11</v>
      </c>
      <c r="M1328" s="1067"/>
      <c r="N1328" s="420"/>
      <c r="O1328"/>
      <c r="P1328" s="412"/>
      <c r="Q1328" s="391"/>
      <c r="T1328" s="393"/>
    </row>
    <row r="1329" spans="1:20" ht="30" customHeight="1" x14ac:dyDescent="0.25">
      <c r="A1329" s="61" t="s">
        <v>916</v>
      </c>
      <c r="B1329" s="236" t="s">
        <v>953</v>
      </c>
      <c r="C1329" s="237"/>
      <c r="D1329" s="238"/>
      <c r="E1329" s="781">
        <f>+P891</f>
        <v>800</v>
      </c>
      <c r="F1329" s="730" t="s">
        <v>11</v>
      </c>
      <c r="G1329" s="777">
        <v>8</v>
      </c>
      <c r="H1329" s="609" t="s">
        <v>1063</v>
      </c>
      <c r="I1329" s="751">
        <f>+R891</f>
        <v>1.02</v>
      </c>
      <c r="J1329" s="751">
        <f>+S891</f>
        <v>1.0490196078431373</v>
      </c>
      <c r="K1329" s="530">
        <f t="shared" si="26"/>
        <v>6848</v>
      </c>
      <c r="L1329" s="61" t="s">
        <v>11</v>
      </c>
      <c r="M1329" s="1067"/>
      <c r="N1329" s="420"/>
      <c r="O1329"/>
      <c r="P1329" s="412"/>
      <c r="Q1329" s="391"/>
      <c r="T1329" s="393"/>
    </row>
    <row r="1330" spans="1:20" ht="30" customHeight="1" x14ac:dyDescent="0.25">
      <c r="A1330" s="61" t="s">
        <v>916</v>
      </c>
      <c r="B1330" s="236" t="s">
        <v>1004</v>
      </c>
      <c r="C1330" s="237"/>
      <c r="D1330" s="238"/>
      <c r="E1330" s="781">
        <f>+P894</f>
        <v>985</v>
      </c>
      <c r="F1330" s="730" t="s">
        <v>11</v>
      </c>
      <c r="G1330" s="777">
        <v>8</v>
      </c>
      <c r="H1330" s="609" t="s">
        <v>1063</v>
      </c>
      <c r="I1330" s="751">
        <f>+R894</f>
        <v>1.02</v>
      </c>
      <c r="J1330" s="751">
        <f>+S894</f>
        <v>1.0490196078431373</v>
      </c>
      <c r="K1330" s="530">
        <f t="shared" si="26"/>
        <v>8431.6</v>
      </c>
      <c r="L1330" s="61" t="s">
        <v>11</v>
      </c>
      <c r="M1330" s="1067"/>
      <c r="N1330" s="420"/>
      <c r="O1330"/>
      <c r="P1330" s="412"/>
      <c r="Q1330" s="391"/>
      <c r="T1330" s="393"/>
    </row>
    <row r="1331" spans="1:20" ht="30" customHeight="1" x14ac:dyDescent="0.25">
      <c r="A1331" s="61" t="s">
        <v>920</v>
      </c>
      <c r="B1331" s="192" t="s">
        <v>1081</v>
      </c>
      <c r="C1331" s="192"/>
      <c r="D1331" s="192"/>
      <c r="E1331" s="781">
        <f>+P895</f>
        <v>137.85</v>
      </c>
      <c r="F1331" s="730" t="s">
        <v>11</v>
      </c>
      <c r="G1331" s="777">
        <v>72</v>
      </c>
      <c r="H1331" s="609" t="s">
        <v>1063</v>
      </c>
      <c r="I1331" s="751">
        <f>+R895</f>
        <v>1.02</v>
      </c>
      <c r="J1331" s="751">
        <f>+S895</f>
        <v>1.0490196078431373</v>
      </c>
      <c r="K1331" s="530">
        <f t="shared" si="26"/>
        <v>10619.964</v>
      </c>
      <c r="L1331" s="61" t="s">
        <v>11</v>
      </c>
      <c r="N1331" s="420"/>
      <c r="O1331"/>
      <c r="P1331" s="412"/>
      <c r="Q1331" s="391"/>
      <c r="T1331" s="393"/>
    </row>
    <row r="1332" spans="1:20" ht="30" customHeight="1" x14ac:dyDescent="0.25">
      <c r="A1332" s="61" t="s">
        <v>922</v>
      </c>
      <c r="B1332" s="236" t="s">
        <v>939</v>
      </c>
      <c r="C1332" s="237"/>
      <c r="D1332" s="238"/>
      <c r="E1332" s="781">
        <f>+P896</f>
        <v>17.110000000000003</v>
      </c>
      <c r="F1332" s="644" t="s">
        <v>7</v>
      </c>
      <c r="G1332" s="777">
        <v>4248</v>
      </c>
      <c r="H1332" s="634" t="s">
        <v>1066</v>
      </c>
      <c r="I1332" s="751">
        <f>+R896</f>
        <v>1.02</v>
      </c>
      <c r="J1332" s="751">
        <f>+S896</f>
        <v>1.0490196078431373</v>
      </c>
      <c r="K1332" s="530">
        <f t="shared" si="26"/>
        <v>77771.109600000025</v>
      </c>
      <c r="L1332" s="61" t="s">
        <v>11</v>
      </c>
      <c r="M1332" s="873"/>
      <c r="N1332" s="420"/>
      <c r="O1332"/>
      <c r="P1332" s="412"/>
      <c r="Q1332" s="391"/>
      <c r="T1332" s="393"/>
    </row>
    <row r="1333" spans="1:20" ht="30" customHeight="1" x14ac:dyDescent="0.25">
      <c r="A1333" s="61">
        <v>93410</v>
      </c>
      <c r="B1333" s="236" t="s">
        <v>1219</v>
      </c>
      <c r="C1333" s="237"/>
      <c r="D1333" s="238"/>
      <c r="E1333" s="594">
        <f>+P906</f>
        <v>1.1000000000000001</v>
      </c>
      <c r="F1333" s="730" t="s">
        <v>3</v>
      </c>
      <c r="G1333" s="777">
        <v>1913</v>
      </c>
      <c r="H1333" s="609" t="s">
        <v>1067</v>
      </c>
      <c r="I1333" s="821">
        <f>+R906</f>
        <v>0.9432470865927236</v>
      </c>
      <c r="J1333" s="61"/>
      <c r="K1333" s="530">
        <f>+E1333*G1333*I1333</f>
        <v>1984.8748443170684</v>
      </c>
      <c r="L1333" s="61" t="s">
        <v>11</v>
      </c>
      <c r="M1333" s="1067"/>
      <c r="N1333" s="420"/>
      <c r="O1333"/>
      <c r="P1333" s="412"/>
      <c r="Q1333" s="391"/>
      <c r="T1333" s="393"/>
    </row>
    <row r="1334" spans="1:20" ht="30" customHeight="1" x14ac:dyDescent="0.25">
      <c r="A1334" s="61">
        <v>85110</v>
      </c>
      <c r="B1334" s="236" t="s">
        <v>1220</v>
      </c>
      <c r="C1334" s="237"/>
      <c r="D1334" s="238"/>
      <c r="E1334" s="594">
        <f>+P904</f>
        <v>57</v>
      </c>
      <c r="F1334" s="730" t="s">
        <v>3</v>
      </c>
      <c r="G1334" s="777">
        <f>40*40/9</f>
        <v>177.77777777777777</v>
      </c>
      <c r="H1334" s="609" t="s">
        <v>1067</v>
      </c>
      <c r="I1334" s="821">
        <f>+R904</f>
        <v>0.9432470865927236</v>
      </c>
      <c r="J1334" s="879"/>
      <c r="K1334" s="530">
        <f>+E1334*G1334*I1334</f>
        <v>9558.2371441395971</v>
      </c>
      <c r="L1334" s="61" t="s">
        <v>11</v>
      </c>
      <c r="N1334" s="420"/>
      <c r="O1334"/>
      <c r="P1334" s="412"/>
      <c r="Q1334" s="391"/>
      <c r="T1334" s="393"/>
    </row>
    <row r="1335" spans="1:20" ht="30" customHeight="1" x14ac:dyDescent="0.25">
      <c r="A1335" s="61"/>
      <c r="B1335" s="192"/>
      <c r="C1335" s="192"/>
      <c r="D1335" s="192"/>
      <c r="E1335" s="530"/>
      <c r="F1335" s="61"/>
      <c r="G1335" s="817"/>
      <c r="H1335" s="646"/>
      <c r="I1335" s="61"/>
      <c r="J1335" s="61" t="s">
        <v>646</v>
      </c>
      <c r="K1335" s="530">
        <f>SUM(K1324:K1334)</f>
        <v>170601.56099237825</v>
      </c>
      <c r="L1335" s="61" t="s">
        <v>11</v>
      </c>
      <c r="N1335" s="420"/>
      <c r="O1335"/>
      <c r="P1335" s="412"/>
      <c r="Q1335" s="391"/>
      <c r="T1335" s="393"/>
    </row>
    <row r="1336" spans="1:20" ht="30" customHeight="1" thickBot="1" x14ac:dyDescent="0.3">
      <c r="A1336" s="61"/>
      <c r="B1336" s="61"/>
      <c r="C1336" s="63"/>
      <c r="D1336" s="63"/>
      <c r="E1336" s="63"/>
      <c r="F1336" s="63"/>
      <c r="G1336" s="445" t="s">
        <v>537</v>
      </c>
      <c r="H1336" s="63"/>
      <c r="I1336" s="63"/>
      <c r="J1336" s="361">
        <f>VLOOKUP(B1322,'Mil Cost Premiums for RUCs'!$A$4:$R$265,18,FALSE)</f>
        <v>1.0485669999999998</v>
      </c>
      <c r="K1336" s="21">
        <f>+K1335*J1336</f>
        <v>178887.16700509505</v>
      </c>
      <c r="L1336" s="61" t="s">
        <v>11</v>
      </c>
      <c r="M1336" s="1067"/>
      <c r="N1336" s="420"/>
      <c r="O1336"/>
      <c r="P1336" s="412"/>
      <c r="Q1336" s="391"/>
      <c r="T1336" s="393"/>
    </row>
    <row r="1337" spans="1:20" ht="30" customHeight="1" thickBot="1" x14ac:dyDescent="0.3">
      <c r="A1337" s="76"/>
      <c r="B1337" s="77"/>
      <c r="C1337" s="77"/>
      <c r="D1337" s="77"/>
      <c r="E1337" s="77"/>
      <c r="F1337" s="77"/>
      <c r="G1337" s="77"/>
      <c r="H1337" s="77"/>
      <c r="I1337" s="77"/>
      <c r="J1337" s="77"/>
      <c r="K1337" s="77"/>
      <c r="L1337" s="78"/>
      <c r="M1337" s="1067"/>
      <c r="N1337" s="420"/>
      <c r="O1337"/>
      <c r="P1337" s="412"/>
      <c r="Q1337" s="391"/>
      <c r="T1337" s="393"/>
    </row>
    <row r="1338" spans="1:20" ht="75" customHeight="1" x14ac:dyDescent="0.25">
      <c r="A1338" s="30" t="s">
        <v>288</v>
      </c>
      <c r="B1338" s="31">
        <v>1792</v>
      </c>
      <c r="C1338" s="863" t="s">
        <v>1221</v>
      </c>
      <c r="D1338" s="864"/>
      <c r="E1338" s="36" t="s">
        <v>291</v>
      </c>
      <c r="F1338" s="37" t="s">
        <v>11</v>
      </c>
      <c r="G1338" s="163" t="s">
        <v>1222</v>
      </c>
      <c r="H1338" s="487">
        <v>1</v>
      </c>
      <c r="I1338" s="36" t="s">
        <v>292</v>
      </c>
      <c r="J1338" s="38" t="s">
        <v>3385</v>
      </c>
      <c r="K1338" s="38"/>
      <c r="L1338" s="389"/>
      <c r="M1338" s="1067"/>
      <c r="N1338" s="420"/>
      <c r="O1338"/>
      <c r="P1338" s="412"/>
      <c r="Q1338" s="391"/>
      <c r="T1338" s="393"/>
    </row>
    <row r="1339" spans="1:20" ht="30" customHeight="1" x14ac:dyDescent="0.25">
      <c r="A1339" s="44" t="s">
        <v>913</v>
      </c>
      <c r="B1339" s="394" t="s">
        <v>560</v>
      </c>
      <c r="C1339" s="395"/>
      <c r="D1339" s="396"/>
      <c r="E1339" s="397" t="s">
        <v>519</v>
      </c>
      <c r="F1339" s="793" t="s">
        <v>561</v>
      </c>
      <c r="G1339" s="626" t="s">
        <v>562</v>
      </c>
      <c r="H1339" s="627"/>
      <c r="I1339" s="181" t="s">
        <v>530</v>
      </c>
      <c r="J1339" s="400" t="s">
        <v>533</v>
      </c>
      <c r="K1339" s="507" t="s">
        <v>521</v>
      </c>
      <c r="L1339" s="508"/>
      <c r="M1339" s="1067"/>
      <c r="N1339" s="420"/>
      <c r="O1339"/>
      <c r="P1339" s="412"/>
      <c r="Q1339" s="391"/>
      <c r="T1339" s="393"/>
    </row>
    <row r="1340" spans="1:20" ht="30" customHeight="1" x14ac:dyDescent="0.25">
      <c r="A1340" s="44"/>
      <c r="B1340" s="503" t="s">
        <v>1223</v>
      </c>
      <c r="C1340" s="504"/>
      <c r="D1340" s="505"/>
      <c r="E1340" s="397"/>
      <c r="F1340" s="793"/>
      <c r="G1340" s="835"/>
      <c r="H1340" s="836"/>
      <c r="I1340" s="599"/>
      <c r="J1340" s="599"/>
      <c r="K1340" s="793"/>
      <c r="L1340" s="793"/>
      <c r="M1340" s="1067"/>
      <c r="N1340" s="420"/>
      <c r="O1340"/>
      <c r="P1340" s="412"/>
      <c r="Q1340" s="391"/>
      <c r="T1340" s="393"/>
    </row>
    <row r="1341" spans="1:20" s="49" customFormat="1" ht="30" customHeight="1" x14ac:dyDescent="0.25">
      <c r="A1341" s="61" t="s">
        <v>849</v>
      </c>
      <c r="B1341" s="402" t="s">
        <v>1224</v>
      </c>
      <c r="C1341" s="403"/>
      <c r="D1341" s="404"/>
      <c r="E1341" s="781">
        <f>+P886</f>
        <v>8.8450000000000006</v>
      </c>
      <c r="F1341" s="61" t="s">
        <v>9</v>
      </c>
      <c r="G1341" s="777">
        <f>246*62</f>
        <v>15252</v>
      </c>
      <c r="H1341" s="634" t="s">
        <v>1062</v>
      </c>
      <c r="I1341" s="751">
        <f>+R886</f>
        <v>1.04</v>
      </c>
      <c r="J1341" s="751">
        <f>+S886</f>
        <v>1.0490196078431373</v>
      </c>
      <c r="K1341" s="530">
        <f t="shared" ref="K1341:K1352" si="27">+E1341*G1341*I1341*J1341</f>
        <v>147177.55336470591</v>
      </c>
      <c r="L1341" s="61" t="s">
        <v>11</v>
      </c>
      <c r="M1341" s="1897"/>
      <c r="N1341" s="420"/>
      <c r="P1341" s="412"/>
      <c r="Q1341" s="391"/>
      <c r="T1341" s="393"/>
    </row>
    <row r="1342" spans="1:20" ht="30" customHeight="1" x14ac:dyDescent="0.25">
      <c r="A1342" s="61" t="s">
        <v>916</v>
      </c>
      <c r="B1342" s="402" t="s">
        <v>1225</v>
      </c>
      <c r="C1342" s="403"/>
      <c r="D1342" s="404"/>
      <c r="E1342" s="781">
        <f>+P890</f>
        <v>439.5</v>
      </c>
      <c r="F1342" s="644" t="s">
        <v>11</v>
      </c>
      <c r="G1342" s="777">
        <v>246</v>
      </c>
      <c r="H1342" s="634" t="s">
        <v>1063</v>
      </c>
      <c r="I1342" s="751">
        <f>+R890</f>
        <v>1.02</v>
      </c>
      <c r="J1342" s="751">
        <f>+S890</f>
        <v>1.0490196078431373</v>
      </c>
      <c r="K1342" s="530">
        <f t="shared" si="27"/>
        <v>115685.19</v>
      </c>
      <c r="L1342" s="61" t="s">
        <v>11</v>
      </c>
      <c r="M1342" s="1067"/>
      <c r="N1342" s="420"/>
      <c r="O1342"/>
      <c r="P1342" s="412"/>
      <c r="Q1342" s="391"/>
      <c r="T1342" s="393"/>
    </row>
    <row r="1343" spans="1:20" ht="30" customHeight="1" x14ac:dyDescent="0.25">
      <c r="A1343" s="61" t="s">
        <v>916</v>
      </c>
      <c r="B1343" s="402" t="s">
        <v>1226</v>
      </c>
      <c r="C1343" s="403"/>
      <c r="D1343" s="404"/>
      <c r="E1343" s="781">
        <f>+P892</f>
        <v>316</v>
      </c>
      <c r="F1343" s="644" t="s">
        <v>11</v>
      </c>
      <c r="G1343" s="777">
        <v>246</v>
      </c>
      <c r="H1343" s="634" t="s">
        <v>1063</v>
      </c>
      <c r="I1343" s="751">
        <f>+R892</f>
        <v>1.02</v>
      </c>
      <c r="J1343" s="751">
        <f>+S892</f>
        <v>1.0490196078431373</v>
      </c>
      <c r="K1343" s="530">
        <f t="shared" si="27"/>
        <v>83177.52</v>
      </c>
      <c r="L1343" s="61" t="s">
        <v>11</v>
      </c>
      <c r="M1343" s="1067"/>
      <c r="N1343" s="420"/>
      <c r="O1343"/>
      <c r="P1343" s="412"/>
      <c r="Q1343" s="391"/>
      <c r="T1343" s="393"/>
    </row>
    <row r="1344" spans="1:20" ht="30" customHeight="1" x14ac:dyDescent="0.25">
      <c r="A1344" s="61" t="s">
        <v>849</v>
      </c>
      <c r="B1344" s="191" t="s">
        <v>1227</v>
      </c>
      <c r="C1344" s="191"/>
      <c r="D1344" s="191"/>
      <c r="E1344" s="781">
        <f>+P887</f>
        <v>10.805</v>
      </c>
      <c r="F1344" s="61" t="s">
        <v>9</v>
      </c>
      <c r="G1344" s="777">
        <f>50*468</f>
        <v>23400</v>
      </c>
      <c r="H1344" s="634" t="s">
        <v>1062</v>
      </c>
      <c r="I1344" s="751">
        <f>+R887</f>
        <v>1.04</v>
      </c>
      <c r="J1344" s="751">
        <f>+S887</f>
        <v>1.0490196078431373</v>
      </c>
      <c r="K1344" s="530">
        <f t="shared" si="27"/>
        <v>275840.20941176469</v>
      </c>
      <c r="L1344" s="61" t="s">
        <v>11</v>
      </c>
      <c r="M1344" s="1067"/>
      <c r="N1344" s="420"/>
      <c r="O1344"/>
      <c r="P1344" s="412"/>
      <c r="Q1344" s="391"/>
      <c r="T1344" s="393"/>
    </row>
    <row r="1345" spans="1:20" ht="30" customHeight="1" x14ac:dyDescent="0.25">
      <c r="A1345" s="61" t="s">
        <v>780</v>
      </c>
      <c r="B1345" s="191" t="s">
        <v>1077</v>
      </c>
      <c r="C1345" s="191"/>
      <c r="D1345" s="191"/>
      <c r="E1345" s="781">
        <f>+P888</f>
        <v>17.95</v>
      </c>
      <c r="F1345" s="61" t="s">
        <v>9</v>
      </c>
      <c r="G1345" s="777">
        <f>2152*8</f>
        <v>17216</v>
      </c>
      <c r="H1345" s="634" t="s">
        <v>1062</v>
      </c>
      <c r="I1345" s="751">
        <f>+R888</f>
        <v>1.04</v>
      </c>
      <c r="J1345" s="751">
        <f>+S888</f>
        <v>1.0490196078431373</v>
      </c>
      <c r="K1345" s="530">
        <f t="shared" si="27"/>
        <v>337142.61584313726</v>
      </c>
      <c r="L1345" s="61" t="s">
        <v>11</v>
      </c>
      <c r="M1345" s="1067"/>
      <c r="N1345" s="420"/>
      <c r="O1345"/>
      <c r="P1345" s="412"/>
      <c r="Q1345" s="391"/>
      <c r="T1345" s="393"/>
    </row>
    <row r="1346" spans="1:20" ht="30" customHeight="1" x14ac:dyDescent="0.25">
      <c r="A1346" s="61" t="s">
        <v>780</v>
      </c>
      <c r="B1346" s="191" t="s">
        <v>1094</v>
      </c>
      <c r="C1346" s="191"/>
      <c r="D1346" s="191"/>
      <c r="E1346" s="781">
        <f>+P888</f>
        <v>17.95</v>
      </c>
      <c r="F1346" s="61" t="s">
        <v>9</v>
      </c>
      <c r="G1346" s="777">
        <f>80.7*35</f>
        <v>2824.5</v>
      </c>
      <c r="H1346" s="634" t="s">
        <v>1062</v>
      </c>
      <c r="I1346" s="751">
        <f>+R888</f>
        <v>1.04</v>
      </c>
      <c r="J1346" s="751">
        <f>+S888</f>
        <v>1.0490196078431373</v>
      </c>
      <c r="K1346" s="530">
        <f t="shared" si="27"/>
        <v>55312.46041176471</v>
      </c>
      <c r="L1346" s="61" t="s">
        <v>11</v>
      </c>
      <c r="M1346" s="1067"/>
      <c r="N1346" s="420"/>
      <c r="O1346"/>
      <c r="P1346" s="412"/>
      <c r="Q1346" s="391"/>
      <c r="T1346" s="393"/>
    </row>
    <row r="1347" spans="1:20" ht="30" customHeight="1" x14ac:dyDescent="0.25">
      <c r="A1347" s="61" t="s">
        <v>916</v>
      </c>
      <c r="B1347" s="191" t="s">
        <v>1228</v>
      </c>
      <c r="C1347" s="191"/>
      <c r="D1347" s="191"/>
      <c r="E1347" s="781">
        <f>+P891</f>
        <v>800</v>
      </c>
      <c r="F1347" s="644" t="s">
        <v>11</v>
      </c>
      <c r="G1347" s="777">
        <v>93</v>
      </c>
      <c r="H1347" s="634" t="s">
        <v>1063</v>
      </c>
      <c r="I1347" s="751">
        <f>+R891</f>
        <v>1.02</v>
      </c>
      <c r="J1347" s="751">
        <f>+S891</f>
        <v>1.0490196078431373</v>
      </c>
      <c r="K1347" s="530">
        <f t="shared" si="27"/>
        <v>79608</v>
      </c>
      <c r="L1347" s="61" t="s">
        <v>11</v>
      </c>
      <c r="M1347" s="1067"/>
      <c r="N1347" s="420"/>
      <c r="O1347"/>
      <c r="P1347" s="412"/>
      <c r="Q1347" s="391"/>
      <c r="T1347" s="393"/>
    </row>
    <row r="1348" spans="1:20" ht="30" customHeight="1" x14ac:dyDescent="0.25">
      <c r="A1348" s="61" t="s">
        <v>760</v>
      </c>
      <c r="B1348" s="191" t="s">
        <v>1229</v>
      </c>
      <c r="C1348" s="191"/>
      <c r="D1348" s="191"/>
      <c r="E1348" s="781">
        <f>+P898</f>
        <v>17.125</v>
      </c>
      <c r="F1348" s="644" t="s">
        <v>7</v>
      </c>
      <c r="G1348" s="777">
        <f>+((656*8)+(49*35))</f>
        <v>6963</v>
      </c>
      <c r="H1348" s="634" t="s">
        <v>1066</v>
      </c>
      <c r="I1348" s="751">
        <f>+R898</f>
        <v>1.02</v>
      </c>
      <c r="J1348" s="751">
        <f>+S898</f>
        <v>1.0490196078431373</v>
      </c>
      <c r="K1348" s="530">
        <f t="shared" si="27"/>
        <v>127588.27125000001</v>
      </c>
      <c r="L1348" s="61" t="s">
        <v>11</v>
      </c>
      <c r="M1348" s="1067"/>
      <c r="N1348" s="420"/>
      <c r="O1348"/>
      <c r="P1348" s="412"/>
      <c r="Q1348" s="391"/>
      <c r="T1348" s="393"/>
    </row>
    <row r="1349" spans="1:20" ht="30" customHeight="1" x14ac:dyDescent="0.25">
      <c r="A1349" s="61" t="s">
        <v>760</v>
      </c>
      <c r="B1349" s="402" t="s">
        <v>1080</v>
      </c>
      <c r="C1349" s="403"/>
      <c r="D1349" s="404"/>
      <c r="E1349" s="781">
        <f>+P899</f>
        <v>2617.5</v>
      </c>
      <c r="F1349" s="644" t="s">
        <v>11</v>
      </c>
      <c r="G1349" s="777">
        <v>43</v>
      </c>
      <c r="H1349" s="634" t="s">
        <v>1063</v>
      </c>
      <c r="I1349" s="751">
        <f>+R899</f>
        <v>1.02</v>
      </c>
      <c r="J1349" s="751">
        <f>+S899</f>
        <v>1.0490196078431373</v>
      </c>
      <c r="K1349" s="530">
        <f t="shared" si="27"/>
        <v>120431.175</v>
      </c>
      <c r="L1349" s="61" t="s">
        <v>11</v>
      </c>
      <c r="M1349" s="1067"/>
      <c r="N1349" s="420"/>
      <c r="O1349"/>
      <c r="P1349" s="412"/>
      <c r="Q1349" s="391"/>
      <c r="T1349" s="393"/>
    </row>
    <row r="1350" spans="1:20" ht="30" customHeight="1" x14ac:dyDescent="0.25">
      <c r="A1350" s="61" t="s">
        <v>916</v>
      </c>
      <c r="B1350" s="402" t="s">
        <v>1004</v>
      </c>
      <c r="C1350" s="403"/>
      <c r="D1350" s="404"/>
      <c r="E1350" s="781">
        <f>+P894</f>
        <v>985</v>
      </c>
      <c r="F1350" s="644" t="s">
        <v>11</v>
      </c>
      <c r="G1350" s="777">
        <v>93</v>
      </c>
      <c r="H1350" s="634" t="s">
        <v>1063</v>
      </c>
      <c r="I1350" s="751">
        <f>+R894</f>
        <v>1.02</v>
      </c>
      <c r="J1350" s="751">
        <f>+S894</f>
        <v>1.0490196078431373</v>
      </c>
      <c r="K1350" s="530">
        <f t="shared" si="27"/>
        <v>98017.35</v>
      </c>
      <c r="L1350" s="61" t="s">
        <v>11</v>
      </c>
      <c r="N1350" s="420"/>
      <c r="O1350"/>
      <c r="P1350" s="412"/>
      <c r="Q1350" s="391"/>
      <c r="T1350" s="393"/>
    </row>
    <row r="1351" spans="1:20" ht="30" customHeight="1" x14ac:dyDescent="0.25">
      <c r="A1351" s="61" t="s">
        <v>920</v>
      </c>
      <c r="B1351" s="191" t="s">
        <v>1081</v>
      </c>
      <c r="C1351" s="191"/>
      <c r="D1351" s="191"/>
      <c r="E1351" s="781">
        <f>+P895</f>
        <v>137.85</v>
      </c>
      <c r="F1351" s="644" t="s">
        <v>11</v>
      </c>
      <c r="G1351" s="777">
        <f>(5*50)+(4*(8+246+35))</f>
        <v>1406</v>
      </c>
      <c r="H1351" s="634" t="s">
        <v>1063</v>
      </c>
      <c r="I1351" s="751">
        <f>+R895</f>
        <v>1.02</v>
      </c>
      <c r="J1351" s="751">
        <f>+S895</f>
        <v>1.0490196078431373</v>
      </c>
      <c r="K1351" s="530">
        <f t="shared" si="27"/>
        <v>207384.29700000002</v>
      </c>
      <c r="L1351" s="61" t="s">
        <v>11</v>
      </c>
      <c r="M1351" s="1067"/>
      <c r="N1351" s="420"/>
      <c r="O1351"/>
      <c r="P1351" s="412"/>
      <c r="Q1351" s="391"/>
      <c r="T1351" s="393"/>
    </row>
    <row r="1352" spans="1:20" ht="30" customHeight="1" x14ac:dyDescent="0.25">
      <c r="A1352" s="61" t="s">
        <v>922</v>
      </c>
      <c r="B1352" s="402" t="s">
        <v>939</v>
      </c>
      <c r="C1352" s="403"/>
      <c r="D1352" s="404"/>
      <c r="E1352" s="781">
        <f>+P896</f>
        <v>17.110000000000003</v>
      </c>
      <c r="F1352" s="644" t="s">
        <v>7</v>
      </c>
      <c r="G1352" s="777">
        <v>29527</v>
      </c>
      <c r="H1352" s="634" t="s">
        <v>1066</v>
      </c>
      <c r="I1352" s="751">
        <f>+R896</f>
        <v>1.02</v>
      </c>
      <c r="J1352" s="751">
        <f>+S896</f>
        <v>1.0490196078431373</v>
      </c>
      <c r="K1352" s="530">
        <f t="shared" si="27"/>
        <v>540571.45790000015</v>
      </c>
      <c r="L1352" s="61" t="s">
        <v>11</v>
      </c>
      <c r="M1352" s="873"/>
      <c r="N1352" s="420"/>
      <c r="O1352"/>
      <c r="P1352" s="412"/>
      <c r="Q1352" s="391"/>
      <c r="T1352" s="393"/>
    </row>
    <row r="1353" spans="1:20" ht="30" customHeight="1" x14ac:dyDescent="0.25">
      <c r="A1353" s="61">
        <v>93410</v>
      </c>
      <c r="B1353" s="236" t="s">
        <v>1230</v>
      </c>
      <c r="C1353" s="237"/>
      <c r="D1353" s="238"/>
      <c r="E1353" s="594">
        <f>+P906</f>
        <v>1.1000000000000001</v>
      </c>
      <c r="F1353" s="730" t="s">
        <v>3</v>
      </c>
      <c r="G1353" s="777">
        <v>10525</v>
      </c>
      <c r="H1353" s="609" t="s">
        <v>1067</v>
      </c>
      <c r="I1353" s="821">
        <f>+R906</f>
        <v>0.9432470865927236</v>
      </c>
      <c r="J1353" s="20"/>
      <c r="K1353" s="530">
        <f>+E1353*G1353*I1353</f>
        <v>10920.443145027259</v>
      </c>
      <c r="L1353" s="61" t="s">
        <v>11</v>
      </c>
      <c r="M1353" s="1067"/>
      <c r="N1353" s="420"/>
      <c r="O1353"/>
      <c r="P1353" s="412"/>
      <c r="Q1353" s="391"/>
      <c r="T1353" s="393"/>
    </row>
    <row r="1354" spans="1:20" ht="30" customHeight="1" x14ac:dyDescent="0.25">
      <c r="A1354" s="61">
        <v>93410</v>
      </c>
      <c r="B1354" s="236" t="s">
        <v>1231</v>
      </c>
      <c r="C1354" s="237"/>
      <c r="D1354" s="238"/>
      <c r="E1354" s="781">
        <f>+P905</f>
        <v>8</v>
      </c>
      <c r="F1354" s="730" t="s">
        <v>307</v>
      </c>
      <c r="G1354" s="777">
        <v>6644</v>
      </c>
      <c r="H1354" s="609" t="s">
        <v>1070</v>
      </c>
      <c r="I1354" s="821">
        <f>+R905</f>
        <v>0.9432470865927236</v>
      </c>
      <c r="J1354" s="20"/>
      <c r="K1354" s="530">
        <f>+E1354*G1354*I1354</f>
        <v>50135.469146576448</v>
      </c>
      <c r="L1354" s="61" t="s">
        <v>11</v>
      </c>
      <c r="M1354" s="1067"/>
      <c r="N1354" s="420"/>
      <c r="O1354"/>
      <c r="P1354" s="412"/>
      <c r="Q1354" s="391"/>
      <c r="T1354" s="393"/>
    </row>
    <row r="1355" spans="1:20" ht="30" customHeight="1" x14ac:dyDescent="0.25">
      <c r="A1355" s="61">
        <v>93210</v>
      </c>
      <c r="B1355" s="236" t="s">
        <v>1232</v>
      </c>
      <c r="C1355" s="237"/>
      <c r="D1355" s="238"/>
      <c r="E1355" s="781">
        <f>+P907</f>
        <v>44.901000000000003</v>
      </c>
      <c r="F1355" s="730" t="s">
        <v>307</v>
      </c>
      <c r="G1355" s="777">
        <v>1569</v>
      </c>
      <c r="H1355" s="609" t="s">
        <v>1070</v>
      </c>
      <c r="I1355" s="821">
        <f>+R907</f>
        <v>0.9432470865927236</v>
      </c>
      <c r="J1355" s="20"/>
      <c r="K1355" s="530">
        <f>+E1355*G1355*I1355</f>
        <v>66451.445035671728</v>
      </c>
      <c r="L1355" s="61" t="s">
        <v>11</v>
      </c>
      <c r="M1355" s="1067"/>
      <c r="N1355" s="420"/>
      <c r="O1355"/>
      <c r="P1355" s="412"/>
      <c r="Q1355" s="391"/>
      <c r="T1355" s="393"/>
    </row>
    <row r="1356" spans="1:20" ht="30" customHeight="1" x14ac:dyDescent="0.25">
      <c r="A1356" s="61" t="s">
        <v>942</v>
      </c>
      <c r="B1356" s="236" t="s">
        <v>1233</v>
      </c>
      <c r="C1356" s="237"/>
      <c r="D1356" s="238"/>
      <c r="E1356" s="594">
        <f>+P884</f>
        <v>18.05</v>
      </c>
      <c r="F1356" s="730" t="s">
        <v>9</v>
      </c>
      <c r="G1356" s="777">
        <f>20*20*13</f>
        <v>5200</v>
      </c>
      <c r="H1356" s="634" t="s">
        <v>1062</v>
      </c>
      <c r="I1356" s="759">
        <f>+R884</f>
        <v>1.06</v>
      </c>
      <c r="J1356" s="751">
        <f>+S884</f>
        <v>1.0490196078431373</v>
      </c>
      <c r="K1356" s="530">
        <f>+E1356*G1356*I1356*J1356</f>
        <v>104368.63921568629</v>
      </c>
      <c r="L1356" s="61" t="s">
        <v>11</v>
      </c>
      <c r="M1356" s="1067"/>
      <c r="N1356" s="420"/>
      <c r="O1356"/>
      <c r="P1356" s="412"/>
      <c r="Q1356" s="391"/>
      <c r="T1356" s="393"/>
    </row>
    <row r="1357" spans="1:20" s="49" customFormat="1" ht="30" customHeight="1" x14ac:dyDescent="0.25">
      <c r="A1357" s="61"/>
      <c r="B1357" s="192"/>
      <c r="C1357" s="192"/>
      <c r="D1357" s="192"/>
      <c r="E1357" s="530"/>
      <c r="F1357" s="61"/>
      <c r="G1357" s="817"/>
      <c r="H1357" s="646"/>
      <c r="I1357" s="20"/>
      <c r="J1357" s="20" t="s">
        <v>646</v>
      </c>
      <c r="K1357" s="530">
        <f>SUM(K1341:K1356)</f>
        <v>2419812.0967243346</v>
      </c>
      <c r="L1357" s="61" t="s">
        <v>11</v>
      </c>
      <c r="M1357" s="1897"/>
      <c r="N1357" s="420"/>
      <c r="P1357" s="412"/>
      <c r="Q1357" s="391"/>
      <c r="T1357" s="393"/>
    </row>
    <row r="1358" spans="1:20" ht="30" customHeight="1" thickBot="1" x14ac:dyDescent="0.3">
      <c r="A1358" s="61"/>
      <c r="B1358" s="61"/>
      <c r="C1358" s="63"/>
      <c r="D1358" s="63"/>
      <c r="E1358" s="63"/>
      <c r="F1358" s="63"/>
      <c r="G1358" s="445" t="s">
        <v>537</v>
      </c>
      <c r="H1358" s="63"/>
      <c r="I1358" s="18"/>
      <c r="J1358" s="361">
        <f>VLOOKUP(B1338,'Mil Cost Premiums for RUCs'!$A$4:$R$265,18,FALSE)</f>
        <v>1.0821211439999998</v>
      </c>
      <c r="K1358" s="21">
        <f>+K1357*J1358</f>
        <v>2618529.8343723752</v>
      </c>
      <c r="L1358" s="61" t="s">
        <v>11</v>
      </c>
      <c r="M1358" s="1067"/>
      <c r="N1358" s="420"/>
      <c r="O1358"/>
      <c r="P1358" s="412"/>
      <c r="Q1358" s="391"/>
      <c r="T1358" s="393"/>
    </row>
    <row r="1359" spans="1:20" ht="30" customHeight="1" thickBot="1" x14ac:dyDescent="0.3">
      <c r="A1359" s="76"/>
      <c r="B1359" s="77"/>
      <c r="C1359" s="77"/>
      <c r="D1359" s="77"/>
      <c r="E1359" s="77"/>
      <c r="F1359" s="77"/>
      <c r="G1359" s="77"/>
      <c r="H1359" s="77"/>
      <c r="I1359" s="77"/>
      <c r="J1359" s="77"/>
      <c r="K1359" s="77"/>
      <c r="L1359" s="78"/>
      <c r="M1359" s="1067"/>
      <c r="N1359" s="420"/>
      <c r="O1359"/>
      <c r="P1359" s="412"/>
      <c r="Q1359" s="391"/>
      <c r="T1359" s="393"/>
    </row>
    <row r="1360" spans="1:20" ht="75" customHeight="1" x14ac:dyDescent="0.25">
      <c r="A1360" s="30" t="s">
        <v>288</v>
      </c>
      <c r="B1360" s="31">
        <v>1794</v>
      </c>
      <c r="C1360" s="161" t="s">
        <v>1234</v>
      </c>
      <c r="D1360" s="162"/>
      <c r="E1360" s="36" t="s">
        <v>291</v>
      </c>
      <c r="F1360" s="37" t="s">
        <v>38</v>
      </c>
      <c r="G1360" s="163" t="s">
        <v>1235</v>
      </c>
      <c r="H1360" s="487">
        <v>1</v>
      </c>
      <c r="I1360" s="36" t="s">
        <v>292</v>
      </c>
      <c r="J1360" s="38" t="s">
        <v>3385</v>
      </c>
      <c r="K1360" s="38"/>
      <c r="L1360" s="389"/>
      <c r="M1360" s="1067"/>
      <c r="N1360" s="420"/>
      <c r="O1360"/>
      <c r="P1360" s="412"/>
      <c r="Q1360" s="391"/>
      <c r="T1360" s="393"/>
    </row>
    <row r="1361" spans="1:20" ht="30" customHeight="1" x14ac:dyDescent="0.25">
      <c r="A1361" s="44" t="s">
        <v>913</v>
      </c>
      <c r="B1361" s="490" t="s">
        <v>560</v>
      </c>
      <c r="C1361" s="491"/>
      <c r="D1361" s="492"/>
      <c r="E1361" s="793" t="s">
        <v>519</v>
      </c>
      <c r="F1361" s="793" t="s">
        <v>561</v>
      </c>
      <c r="G1361" s="398" t="s">
        <v>562</v>
      </c>
      <c r="H1361" s="399"/>
      <c r="I1361" s="400" t="s">
        <v>530</v>
      </c>
      <c r="J1361" s="400" t="s">
        <v>533</v>
      </c>
      <c r="K1361" s="507" t="s">
        <v>521</v>
      </c>
      <c r="L1361" s="508"/>
      <c r="M1361" s="1067"/>
      <c r="N1361" s="420"/>
      <c r="O1361"/>
      <c r="P1361" s="412"/>
      <c r="Q1361" s="391"/>
      <c r="T1361" s="393"/>
    </row>
    <row r="1362" spans="1:20" ht="30" customHeight="1" x14ac:dyDescent="0.25">
      <c r="A1362" s="61" t="s">
        <v>849</v>
      </c>
      <c r="B1362" s="236" t="s">
        <v>1236</v>
      </c>
      <c r="C1362" s="237"/>
      <c r="D1362" s="238"/>
      <c r="E1362" s="781">
        <f>+P887</f>
        <v>10.805</v>
      </c>
      <c r="F1362" s="61" t="s">
        <v>9</v>
      </c>
      <c r="G1362" s="777">
        <v>481</v>
      </c>
      <c r="H1362" s="609" t="s">
        <v>915</v>
      </c>
      <c r="I1362" s="20">
        <f>+R887</f>
        <v>1.04</v>
      </c>
      <c r="J1362" s="751">
        <f>+S887</f>
        <v>1.0490196078431373</v>
      </c>
      <c r="K1362" s="530">
        <f>+E1362*G1362*I1362*J1362</f>
        <v>5670.0487490196083</v>
      </c>
      <c r="L1362" s="61" t="s">
        <v>38</v>
      </c>
      <c r="M1362" s="1067"/>
      <c r="N1362" s="420"/>
      <c r="O1362"/>
      <c r="P1362" s="412"/>
      <c r="Q1362" s="391"/>
      <c r="T1362" s="393"/>
    </row>
    <row r="1363" spans="1:20" ht="30" customHeight="1" x14ac:dyDescent="0.25">
      <c r="A1363" s="61">
        <v>93410</v>
      </c>
      <c r="B1363" s="236" t="s">
        <v>1237</v>
      </c>
      <c r="C1363" s="237"/>
      <c r="D1363" s="238"/>
      <c r="E1363" s="781">
        <f>+P905</f>
        <v>8</v>
      </c>
      <c r="F1363" s="644" t="s">
        <v>307</v>
      </c>
      <c r="G1363" s="777">
        <v>706</v>
      </c>
      <c r="H1363" s="609" t="s">
        <v>927</v>
      </c>
      <c r="I1363" s="821">
        <f>+R905</f>
        <v>0.9432470865927236</v>
      </c>
      <c r="J1363" s="20"/>
      <c r="K1363" s="530">
        <f>+E1363*G1363*I1363</f>
        <v>5327.4595450757033</v>
      </c>
      <c r="L1363" s="61" t="s">
        <v>38</v>
      </c>
      <c r="M1363" s="1067"/>
      <c r="N1363" s="420"/>
      <c r="O1363"/>
      <c r="P1363" s="412"/>
      <c r="Q1363" s="391"/>
      <c r="T1363" s="393"/>
    </row>
    <row r="1364" spans="1:20" ht="30" customHeight="1" x14ac:dyDescent="0.25">
      <c r="A1364" s="61">
        <v>93210</v>
      </c>
      <c r="B1364" s="236" t="s">
        <v>1012</v>
      </c>
      <c r="C1364" s="237"/>
      <c r="D1364" s="238"/>
      <c r="E1364" s="781">
        <f>+P907</f>
        <v>44.901000000000003</v>
      </c>
      <c r="F1364" s="644" t="s">
        <v>307</v>
      </c>
      <c r="G1364" s="777">
        <v>81.75</v>
      </c>
      <c r="H1364" s="609" t="s">
        <v>927</v>
      </c>
      <c r="I1364" s="821">
        <f>+R907</f>
        <v>0.9432470865927236</v>
      </c>
      <c r="J1364" s="20"/>
      <c r="K1364" s="530">
        <f>+E1364*G1364*I1364</f>
        <v>3462.3362853194153</v>
      </c>
      <c r="L1364" s="61" t="s">
        <v>38</v>
      </c>
      <c r="M1364" s="1067"/>
      <c r="N1364" s="420"/>
      <c r="O1364"/>
      <c r="P1364" s="412"/>
      <c r="Q1364" s="391"/>
      <c r="T1364" s="393"/>
    </row>
    <row r="1365" spans="1:20" ht="30" customHeight="1" x14ac:dyDescent="0.25">
      <c r="A1365" s="61"/>
      <c r="B1365" s="192"/>
      <c r="C1365" s="192"/>
      <c r="D1365" s="192"/>
      <c r="E1365" s="530"/>
      <c r="F1365" s="61"/>
      <c r="G1365" s="838"/>
      <c r="H1365" s="754"/>
      <c r="I1365" s="20"/>
      <c r="J1365" s="20" t="s">
        <v>646</v>
      </c>
      <c r="K1365" s="530">
        <f>SUM(K1362:K1363)</f>
        <v>10997.508294095311</v>
      </c>
      <c r="L1365" s="61" t="s">
        <v>38</v>
      </c>
      <c r="M1365" s="1067"/>
      <c r="N1365" s="420"/>
      <c r="O1365"/>
      <c r="P1365" s="412"/>
      <c r="Q1365" s="391"/>
      <c r="T1365" s="393"/>
    </row>
    <row r="1366" spans="1:20" ht="30" customHeight="1" thickBot="1" x14ac:dyDescent="0.3">
      <c r="A1366" s="61"/>
      <c r="B1366" s="61"/>
      <c r="C1366" s="63"/>
      <c r="D1366" s="63"/>
      <c r="E1366" s="63"/>
      <c r="F1366" s="63"/>
      <c r="G1366" s="413" t="s">
        <v>537</v>
      </c>
      <c r="H1366" s="18"/>
      <c r="I1366" s="18"/>
      <c r="J1366" s="361">
        <f>VLOOKUP(B1360,'Mil Cost Premiums for RUCs'!$A$4:$R$265,18,FALSE)</f>
        <v>1.0485669999999998</v>
      </c>
      <c r="K1366" s="21">
        <f>+K1365*J1366</f>
        <v>11531.624279414635</v>
      </c>
      <c r="L1366" s="61" t="s">
        <v>38</v>
      </c>
      <c r="M1366" s="1067"/>
      <c r="N1366" s="420"/>
      <c r="O1366"/>
      <c r="P1366" s="412"/>
      <c r="Q1366" s="391"/>
      <c r="T1366" s="393"/>
    </row>
    <row r="1367" spans="1:20" ht="30" customHeight="1" thickBot="1" x14ac:dyDescent="0.3">
      <c r="A1367" s="76"/>
      <c r="B1367" s="77"/>
      <c r="C1367" s="77"/>
      <c r="D1367" s="77"/>
      <c r="E1367" s="77"/>
      <c r="F1367" s="77"/>
      <c r="G1367" s="77"/>
      <c r="H1367" s="77"/>
      <c r="I1367" s="77"/>
      <c r="J1367" s="77"/>
      <c r="K1367" s="77"/>
      <c r="L1367" s="78"/>
      <c r="M1367" s="1067"/>
      <c r="N1367" s="420"/>
      <c r="O1367"/>
      <c r="P1367" s="412"/>
      <c r="Q1367" s="391"/>
      <c r="T1367" s="393"/>
    </row>
    <row r="1368" spans="1:20" ht="30" customHeight="1" x14ac:dyDescent="0.25">
      <c r="A1368" s="306" t="s">
        <v>288</v>
      </c>
      <c r="B1368" s="307">
        <v>1795</v>
      </c>
      <c r="C1368" s="880" t="s">
        <v>1238</v>
      </c>
      <c r="D1368" s="881"/>
      <c r="E1368" s="310" t="s">
        <v>291</v>
      </c>
      <c r="F1368" s="311" t="s">
        <v>11</v>
      </c>
      <c r="G1368" s="312" t="s">
        <v>290</v>
      </c>
      <c r="H1368" s="882">
        <v>1</v>
      </c>
      <c r="I1368" s="310" t="s">
        <v>292</v>
      </c>
      <c r="J1368" s="747" t="s">
        <v>3402</v>
      </c>
      <c r="K1368" s="747"/>
      <c r="L1368" s="748"/>
      <c r="M1368" s="1067"/>
      <c r="N1368" s="420"/>
      <c r="O1368"/>
      <c r="P1368" s="412"/>
      <c r="Q1368" s="391"/>
      <c r="T1368" s="393"/>
    </row>
    <row r="1369" spans="1:20" ht="30" customHeight="1" x14ac:dyDescent="0.25">
      <c r="A1369" s="695" t="s">
        <v>529</v>
      </c>
      <c r="B1369" s="883" t="s">
        <v>560</v>
      </c>
      <c r="C1369" s="884"/>
      <c r="D1369" s="885"/>
      <c r="E1369" s="546" t="s">
        <v>519</v>
      </c>
      <c r="F1369" s="546" t="s">
        <v>561</v>
      </c>
      <c r="G1369" s="547" t="s">
        <v>562</v>
      </c>
      <c r="H1369" s="548"/>
      <c r="I1369" s="549" t="s">
        <v>530</v>
      </c>
      <c r="J1369" s="400" t="s">
        <v>533</v>
      </c>
      <c r="K1369" s="507" t="s">
        <v>521</v>
      </c>
      <c r="L1369" s="508"/>
      <c r="M1369" s="1067"/>
      <c r="N1369" s="420"/>
      <c r="O1369"/>
      <c r="P1369" s="412"/>
      <c r="Q1369" s="391"/>
      <c r="T1369" s="393"/>
    </row>
    <row r="1370" spans="1:20" ht="30" customHeight="1" x14ac:dyDescent="0.25">
      <c r="A1370" s="24" t="s">
        <v>1239</v>
      </c>
      <c r="B1370" s="138" t="s">
        <v>1240</v>
      </c>
      <c r="C1370" s="139"/>
      <c r="D1370" s="140"/>
      <c r="E1370" s="14">
        <f>+(10.15+17.15)/2</f>
        <v>13.649999999999999</v>
      </c>
      <c r="F1370" s="844" t="s">
        <v>212</v>
      </c>
      <c r="G1370" s="326">
        <f>+(E1370)*(50*50*10*4)+(E1370)*(50*50*10)*0.005</f>
        <v>1366706.2499999998</v>
      </c>
      <c r="H1370" s="355" t="s">
        <v>1241</v>
      </c>
      <c r="I1370" s="10">
        <v>1.06</v>
      </c>
      <c r="J1370" s="886">
        <f>1.07/1.02</f>
        <v>1.0490196078431373</v>
      </c>
      <c r="K1370" s="887">
        <f>+G1370*I1370*J1370</f>
        <v>1519723.7536764704</v>
      </c>
      <c r="L1370" s="24" t="s">
        <v>11</v>
      </c>
      <c r="N1370" s="420"/>
      <c r="O1370"/>
      <c r="P1370" s="412"/>
      <c r="Q1370" s="391"/>
      <c r="T1370" s="393"/>
    </row>
    <row r="1371" spans="1:20" ht="30" customHeight="1" x14ac:dyDescent="0.25">
      <c r="A1371" s="24" t="s">
        <v>1242</v>
      </c>
      <c r="B1371" s="138" t="s">
        <v>1243</v>
      </c>
      <c r="C1371" s="139"/>
      <c r="D1371" s="140"/>
      <c r="E1371" s="12">
        <f>+(1.23+2.49)/2</f>
        <v>1.86</v>
      </c>
      <c r="F1371" s="10" t="s">
        <v>6</v>
      </c>
      <c r="G1371" s="14">
        <f>+E1371*5000</f>
        <v>9300</v>
      </c>
      <c r="H1371" s="355" t="s">
        <v>1244</v>
      </c>
      <c r="I1371" s="886">
        <v>1.03</v>
      </c>
      <c r="J1371" s="886">
        <f>1.07/1.02</f>
        <v>1.0490196078431373</v>
      </c>
      <c r="K1371" s="887">
        <f>+G1371*I1371*J1371</f>
        <v>10048.558823529413</v>
      </c>
      <c r="L1371" s="24" t="s">
        <v>11</v>
      </c>
      <c r="M1371" s="1067"/>
      <c r="N1371" s="420"/>
      <c r="O1371"/>
      <c r="P1371" s="412"/>
      <c r="Q1371" s="391"/>
      <c r="T1371" s="393"/>
    </row>
    <row r="1372" spans="1:20" ht="30" customHeight="1" x14ac:dyDescent="0.25">
      <c r="A1372" s="24">
        <v>83210</v>
      </c>
      <c r="B1372" s="138" t="s">
        <v>1245</v>
      </c>
      <c r="C1372" s="139"/>
      <c r="D1372" s="140"/>
      <c r="E1372" s="14">
        <v>23890</v>
      </c>
      <c r="F1372" s="24" t="s">
        <v>11</v>
      </c>
      <c r="G1372" s="888"/>
      <c r="H1372" s="889"/>
      <c r="I1372" s="890">
        <f>+'MILCON Inflation Table'!F17</f>
        <v>0.9432470865927236</v>
      </c>
      <c r="J1372" s="24"/>
      <c r="K1372" s="887">
        <f>+E1372*I1372</f>
        <v>22534.172898700166</v>
      </c>
      <c r="L1372" s="24" t="s">
        <v>11</v>
      </c>
      <c r="M1372" s="1067"/>
      <c r="N1372" s="420"/>
      <c r="O1372"/>
      <c r="P1372" s="412"/>
      <c r="Q1372" s="391"/>
      <c r="T1372" s="393"/>
    </row>
    <row r="1373" spans="1:20" ht="30" customHeight="1" x14ac:dyDescent="0.25">
      <c r="A1373" s="24"/>
      <c r="B1373" s="574"/>
      <c r="C1373" s="574"/>
      <c r="D1373" s="574"/>
      <c r="E1373" s="891"/>
      <c r="F1373" s="24"/>
      <c r="G1373" s="892"/>
      <c r="H1373" s="889"/>
      <c r="I1373" s="24"/>
      <c r="J1373" s="24" t="s">
        <v>646</v>
      </c>
      <c r="K1373" s="887">
        <f>SUM(K1370:K1372)</f>
        <v>1552306.4853987</v>
      </c>
      <c r="L1373" s="24" t="s">
        <v>11</v>
      </c>
      <c r="M1373" s="1067"/>
      <c r="N1373" s="420"/>
      <c r="O1373"/>
      <c r="P1373" s="412"/>
      <c r="Q1373" s="391"/>
      <c r="T1373" s="393"/>
    </row>
    <row r="1374" spans="1:20" ht="30" customHeight="1" x14ac:dyDescent="0.25">
      <c r="A1374" s="24"/>
      <c r="B1374" s="24"/>
      <c r="C1374" s="64"/>
      <c r="D1374" s="64"/>
      <c r="E1374" s="64"/>
      <c r="F1374" s="64"/>
      <c r="G1374" s="64"/>
      <c r="H1374" s="64"/>
      <c r="I1374" s="64"/>
      <c r="J1374" s="64" t="s">
        <v>358</v>
      </c>
      <c r="K1374" s="17">
        <f>+K1373</f>
        <v>1552306.4853987</v>
      </c>
      <c r="L1374" s="24" t="s">
        <v>11</v>
      </c>
      <c r="M1374" s="1067"/>
      <c r="N1374" s="420"/>
      <c r="O1374"/>
      <c r="P1374" s="412"/>
      <c r="Q1374" s="391"/>
      <c r="T1374" s="393"/>
    </row>
    <row r="1375" spans="1:20" ht="30" customHeight="1" x14ac:dyDescent="0.25">
      <c r="A1375" s="24"/>
      <c r="B1375" s="24"/>
      <c r="C1375" s="64"/>
      <c r="D1375" s="64"/>
      <c r="E1375" s="64"/>
      <c r="F1375" s="64"/>
      <c r="G1375" s="445" t="s">
        <v>537</v>
      </c>
      <c r="H1375" s="64"/>
      <c r="I1375" s="64"/>
      <c r="J1375" s="361">
        <f>VLOOKUP(B1368,'Mil Cost Premiums for RUCs'!$A$4:$R$265,18,FALSE)</f>
        <v>1.0821211439999998</v>
      </c>
      <c r="K1375" s="17">
        <f>+K1374*J1375</f>
        <v>1679783.6698182602</v>
      </c>
      <c r="L1375" s="24" t="s">
        <v>11</v>
      </c>
      <c r="M1375" s="1067"/>
      <c r="N1375" s="420"/>
      <c r="O1375"/>
      <c r="P1375" s="412"/>
      <c r="Q1375" s="391"/>
      <c r="T1375" s="393"/>
    </row>
    <row r="1376" spans="1:20" ht="75" customHeight="1" x14ac:dyDescent="0.25">
      <c r="A1376" s="575" t="s">
        <v>538</v>
      </c>
      <c r="B1376" s="893"/>
      <c r="C1376" s="893"/>
      <c r="D1376" s="893"/>
      <c r="E1376" s="893"/>
      <c r="F1376" s="893"/>
      <c r="G1376" s="893"/>
      <c r="H1376" s="893"/>
      <c r="I1376" s="893"/>
      <c r="J1376" s="893"/>
      <c r="K1376" s="893"/>
      <c r="L1376" s="894"/>
      <c r="M1376" s="1067"/>
      <c r="N1376" s="420"/>
      <c r="O1376"/>
      <c r="P1376" s="412"/>
      <c r="Q1376" s="391"/>
      <c r="T1376" s="393"/>
    </row>
    <row r="1377" spans="1:20" ht="30" customHeight="1" x14ac:dyDescent="0.25">
      <c r="A1377" s="866" t="s">
        <v>539</v>
      </c>
      <c r="B1377" s="867"/>
      <c r="C1377" s="868"/>
      <c r="D1377" s="386" t="s">
        <v>1246</v>
      </c>
      <c r="E1377" s="849"/>
      <c r="F1377" s="849"/>
      <c r="G1377" s="849"/>
      <c r="H1377" s="849"/>
      <c r="I1377" s="849"/>
      <c r="J1377" s="849"/>
      <c r="K1377" s="849"/>
      <c r="L1377" s="850"/>
      <c r="M1377" s="1067"/>
      <c r="N1377" s="420"/>
      <c r="O1377"/>
      <c r="P1377" s="412"/>
      <c r="Q1377" s="391"/>
      <c r="T1377" s="393"/>
    </row>
    <row r="1378" spans="1:20" ht="30" customHeight="1" x14ac:dyDescent="0.25">
      <c r="A1378" s="866" t="s">
        <v>541</v>
      </c>
      <c r="B1378" s="867"/>
      <c r="C1378" s="868"/>
      <c r="D1378" s="386" t="s">
        <v>1247</v>
      </c>
      <c r="E1378" s="849"/>
      <c r="F1378" s="849"/>
      <c r="G1378" s="849"/>
      <c r="H1378" s="849"/>
      <c r="I1378" s="849"/>
      <c r="J1378" s="849"/>
      <c r="K1378" s="849"/>
      <c r="L1378" s="850"/>
      <c r="M1378" s="1067"/>
      <c r="N1378" s="420"/>
      <c r="O1378"/>
      <c r="P1378" s="412"/>
      <c r="Q1378" s="391"/>
      <c r="T1378" s="393"/>
    </row>
    <row r="1379" spans="1:20" s="49" customFormat="1" ht="30" customHeight="1" x14ac:dyDescent="0.25">
      <c r="A1379" s="866" t="s">
        <v>543</v>
      </c>
      <c r="B1379" s="867"/>
      <c r="C1379" s="868"/>
      <c r="D1379" s="386" t="s">
        <v>1248</v>
      </c>
      <c r="E1379" s="849"/>
      <c r="F1379" s="849"/>
      <c r="G1379" s="849"/>
      <c r="H1379" s="849"/>
      <c r="I1379" s="849"/>
      <c r="J1379" s="849"/>
      <c r="K1379" s="849"/>
      <c r="L1379" s="850"/>
      <c r="M1379" s="1897"/>
      <c r="N1379" s="420"/>
      <c r="P1379" s="412"/>
      <c r="Q1379" s="391"/>
      <c r="T1379" s="393"/>
    </row>
    <row r="1380" spans="1:20" ht="30" customHeight="1" x14ac:dyDescent="0.25">
      <c r="A1380" s="866" t="s">
        <v>546</v>
      </c>
      <c r="B1380" s="867"/>
      <c r="C1380" s="868"/>
      <c r="D1380" s="386" t="s">
        <v>1249</v>
      </c>
      <c r="E1380" s="849"/>
      <c r="F1380" s="849"/>
      <c r="G1380" s="849"/>
      <c r="H1380" s="849"/>
      <c r="I1380" s="849"/>
      <c r="J1380" s="849"/>
      <c r="K1380" s="849"/>
      <c r="L1380" s="850"/>
      <c r="M1380" s="1067"/>
      <c r="N1380" s="420"/>
      <c r="O1380"/>
      <c r="P1380" s="412"/>
      <c r="Q1380" s="391"/>
      <c r="T1380" s="393"/>
    </row>
    <row r="1381" spans="1:20" ht="30" customHeight="1" x14ac:dyDescent="0.25">
      <c r="A1381" s="866" t="s">
        <v>548</v>
      </c>
      <c r="B1381" s="867"/>
      <c r="C1381" s="868"/>
      <c r="D1381" s="386" t="s">
        <v>1250</v>
      </c>
      <c r="E1381" s="849"/>
      <c r="F1381" s="849"/>
      <c r="G1381" s="849"/>
      <c r="H1381" s="849"/>
      <c r="I1381" s="849"/>
      <c r="J1381" s="849"/>
      <c r="K1381" s="849"/>
      <c r="L1381" s="850"/>
      <c r="M1381" s="1067"/>
      <c r="N1381" s="420"/>
      <c r="O1381"/>
      <c r="P1381" s="412"/>
      <c r="Q1381" s="391"/>
      <c r="T1381" s="393"/>
    </row>
    <row r="1382" spans="1:20" ht="30" customHeight="1" x14ac:dyDescent="0.25">
      <c r="A1382" s="866" t="s">
        <v>550</v>
      </c>
      <c r="B1382" s="867"/>
      <c r="C1382" s="868"/>
      <c r="D1382" s="386" t="s">
        <v>1251</v>
      </c>
      <c r="E1382" s="849"/>
      <c r="F1382" s="849"/>
      <c r="G1382" s="849"/>
      <c r="H1382" s="849"/>
      <c r="I1382" s="849"/>
      <c r="J1382" s="849"/>
      <c r="K1382" s="849"/>
      <c r="L1382" s="850"/>
      <c r="M1382" s="1067"/>
      <c r="N1382" s="420"/>
      <c r="O1382"/>
      <c r="P1382" s="412"/>
      <c r="Q1382" s="391"/>
      <c r="T1382" s="393"/>
    </row>
    <row r="1383" spans="1:20" ht="30" customHeight="1" x14ac:dyDescent="0.25">
      <c r="A1383" s="866" t="s">
        <v>552</v>
      </c>
      <c r="B1383" s="867"/>
      <c r="C1383" s="868"/>
      <c r="D1383" s="386" t="s">
        <v>1252</v>
      </c>
      <c r="E1383" s="849"/>
      <c r="F1383" s="849"/>
      <c r="G1383" s="849"/>
      <c r="H1383" s="849"/>
      <c r="I1383" s="849"/>
      <c r="J1383" s="849"/>
      <c r="K1383" s="849"/>
      <c r="L1383" s="850"/>
      <c r="M1383" s="1067"/>
      <c r="N1383" s="420"/>
      <c r="O1383"/>
      <c r="P1383" s="412"/>
      <c r="Q1383" s="391"/>
      <c r="T1383" s="393"/>
    </row>
    <row r="1384" spans="1:20" ht="60" customHeight="1" x14ac:dyDescent="0.25">
      <c r="A1384" s="866" t="s">
        <v>802</v>
      </c>
      <c r="B1384" s="867"/>
      <c r="C1384" s="868"/>
      <c r="D1384" s="851" t="s">
        <v>1253</v>
      </c>
      <c r="E1384" s="852"/>
      <c r="F1384" s="852"/>
      <c r="G1384" s="852"/>
      <c r="H1384" s="852"/>
      <c r="I1384" s="852"/>
      <c r="J1384" s="852"/>
      <c r="K1384" s="852"/>
      <c r="L1384" s="853"/>
      <c r="M1384" s="1067"/>
      <c r="N1384" s="420"/>
      <c r="O1384"/>
      <c r="P1384" s="412"/>
      <c r="Q1384" s="391"/>
      <c r="R1384" s="393"/>
    </row>
    <row r="1385" spans="1:20" ht="60" customHeight="1" thickBot="1" x14ac:dyDescent="0.3">
      <c r="A1385" s="563" t="s">
        <v>556</v>
      </c>
      <c r="B1385" s="383"/>
      <c r="C1385" s="384"/>
      <c r="D1385" s="386" t="s">
        <v>1254</v>
      </c>
      <c r="E1385" s="849"/>
      <c r="F1385" s="849"/>
      <c r="G1385" s="849"/>
      <c r="H1385" s="849"/>
      <c r="I1385" s="849"/>
      <c r="J1385" s="849"/>
      <c r="K1385" s="849"/>
      <c r="L1385" s="850"/>
      <c r="M1385" s="1067"/>
      <c r="N1385" s="420"/>
      <c r="O1385"/>
      <c r="P1385" s="412"/>
      <c r="Q1385" s="391"/>
      <c r="R1385" s="393"/>
    </row>
    <row r="1386" spans="1:20" ht="30" customHeight="1" thickBot="1" x14ac:dyDescent="0.3">
      <c r="A1386" s="76"/>
      <c r="B1386" s="77"/>
      <c r="C1386" s="77"/>
      <c r="D1386" s="77"/>
      <c r="E1386" s="77"/>
      <c r="F1386" s="77"/>
      <c r="G1386" s="77"/>
      <c r="H1386" s="77"/>
      <c r="I1386" s="77"/>
      <c r="J1386" s="77"/>
      <c r="K1386" s="77"/>
      <c r="L1386" s="78"/>
      <c r="M1386" s="1067"/>
      <c r="N1386" s="420"/>
      <c r="O1386"/>
      <c r="P1386" s="412"/>
      <c r="Q1386" s="391"/>
      <c r="R1386" s="393"/>
    </row>
    <row r="1387" spans="1:20" s="49" customFormat="1" ht="75" customHeight="1" x14ac:dyDescent="0.25">
      <c r="A1387" s="30" t="s">
        <v>288</v>
      </c>
      <c r="B1387" s="208">
        <v>1796</v>
      </c>
      <c r="C1387" s="209" t="s">
        <v>1255</v>
      </c>
      <c r="D1387" s="210"/>
      <c r="E1387" s="177" t="s">
        <v>291</v>
      </c>
      <c r="F1387" s="178" t="s">
        <v>9</v>
      </c>
      <c r="G1387" s="123" t="s">
        <v>375</v>
      </c>
      <c r="H1387" s="539">
        <v>24769</v>
      </c>
      <c r="I1387" s="177" t="s">
        <v>292</v>
      </c>
      <c r="J1387" s="38" t="s">
        <v>3385</v>
      </c>
      <c r="K1387" s="38"/>
      <c r="L1387" s="389"/>
      <c r="M1387" s="1897"/>
      <c r="N1387" s="420"/>
      <c r="P1387" s="412"/>
      <c r="Q1387" s="391"/>
      <c r="R1387" s="393"/>
    </row>
    <row r="1388" spans="1:20" ht="30" customHeight="1" x14ac:dyDescent="0.25">
      <c r="A1388" s="44" t="s">
        <v>913</v>
      </c>
      <c r="B1388" s="394" t="s">
        <v>560</v>
      </c>
      <c r="C1388" s="395"/>
      <c r="D1388" s="396"/>
      <c r="E1388" s="397" t="s">
        <v>519</v>
      </c>
      <c r="F1388" s="397" t="s">
        <v>561</v>
      </c>
      <c r="G1388" s="398" t="s">
        <v>562</v>
      </c>
      <c r="H1388" s="399"/>
      <c r="I1388" s="181" t="s">
        <v>530</v>
      </c>
      <c r="J1388" s="400" t="s">
        <v>533</v>
      </c>
      <c r="K1388" s="288" t="s">
        <v>521</v>
      </c>
      <c r="L1388" s="289"/>
      <c r="M1388" s="1937"/>
      <c r="N1388" s="1963"/>
      <c r="O1388"/>
      <c r="P1388" s="412"/>
      <c r="Q1388" s="391"/>
      <c r="R1388" s="393"/>
    </row>
    <row r="1389" spans="1:20" ht="30" customHeight="1" x14ac:dyDescent="0.25">
      <c r="A1389" s="61" t="s">
        <v>942</v>
      </c>
      <c r="B1389" s="402" t="s">
        <v>1256</v>
      </c>
      <c r="C1389" s="403"/>
      <c r="D1389" s="404"/>
      <c r="E1389" s="594">
        <v>18.05</v>
      </c>
      <c r="F1389" s="730" t="s">
        <v>9</v>
      </c>
      <c r="G1389" s="837"/>
      <c r="H1389" s="609"/>
      <c r="I1389" s="759">
        <v>1.03</v>
      </c>
      <c r="J1389" s="751">
        <f>+S884</f>
        <v>1.0490196078431373</v>
      </c>
      <c r="K1389" s="405">
        <f>+E1389*I1389*J1389</f>
        <v>19.502848039215689</v>
      </c>
      <c r="L1389" s="20" t="s">
        <v>9</v>
      </c>
      <c r="M1389" s="1938"/>
      <c r="N1389" s="1964"/>
      <c r="O1389"/>
      <c r="P1389" s="412"/>
      <c r="Q1389" s="391"/>
      <c r="R1389" s="393"/>
    </row>
    <row r="1390" spans="1:20" ht="30" customHeight="1" x14ac:dyDescent="0.25">
      <c r="A1390" s="61" t="s">
        <v>780</v>
      </c>
      <c r="B1390" s="402" t="s">
        <v>951</v>
      </c>
      <c r="C1390" s="403"/>
      <c r="D1390" s="404"/>
      <c r="E1390" s="594">
        <f>+P889</f>
        <v>4.6849999999999996</v>
      </c>
      <c r="F1390" s="730" t="s">
        <v>9</v>
      </c>
      <c r="G1390" s="837"/>
      <c r="H1390" s="609"/>
      <c r="I1390" s="20">
        <v>1.04</v>
      </c>
      <c r="J1390" s="751">
        <f>+S889</f>
        <v>1.0490196078431373</v>
      </c>
      <c r="K1390" s="405">
        <f>+E1390*I1390*J1390</f>
        <v>5.1112431372549016</v>
      </c>
      <c r="L1390" s="20" t="s">
        <v>9</v>
      </c>
      <c r="M1390" s="1067"/>
      <c r="N1390" s="420"/>
      <c r="O1390"/>
      <c r="P1390" s="412"/>
      <c r="Q1390" s="391"/>
      <c r="R1390" s="393"/>
    </row>
    <row r="1391" spans="1:20" ht="30" customHeight="1" x14ac:dyDescent="0.25">
      <c r="A1391" s="61" t="s">
        <v>563</v>
      </c>
      <c r="B1391" s="402" t="s">
        <v>1257</v>
      </c>
      <c r="C1391" s="403"/>
      <c r="D1391" s="404"/>
      <c r="E1391" s="781">
        <v>44.49</v>
      </c>
      <c r="F1391" s="730" t="s">
        <v>9</v>
      </c>
      <c r="G1391" s="794"/>
      <c r="H1391" s="609"/>
      <c r="I1391" s="759">
        <v>1.05</v>
      </c>
      <c r="J1391" s="751">
        <f>+S883</f>
        <v>1.0490196078431373</v>
      </c>
      <c r="K1391" s="405">
        <f>+E1391*I1391*J1391</f>
        <v>49.004426470588236</v>
      </c>
      <c r="L1391" s="20" t="s">
        <v>9</v>
      </c>
      <c r="M1391" s="1067"/>
      <c r="N1391" s="420"/>
      <c r="O1391"/>
      <c r="P1391" s="412"/>
      <c r="Q1391" s="391"/>
      <c r="R1391" s="393"/>
    </row>
    <row r="1392" spans="1:20" ht="30" customHeight="1" x14ac:dyDescent="0.25">
      <c r="A1392" s="61"/>
      <c r="B1392" s="895"/>
      <c r="C1392" s="896"/>
      <c r="D1392" s="897"/>
      <c r="E1392" s="21"/>
      <c r="F1392" s="644"/>
      <c r="G1392" s="797"/>
      <c r="H1392" s="634"/>
      <c r="I1392" s="898" t="s">
        <v>632</v>
      </c>
      <c r="J1392" s="899"/>
      <c r="K1392" s="405">
        <f>0.09*K1389+0.06*K1390+0.85*K1391</f>
        <v>43.715693411764704</v>
      </c>
      <c r="L1392" s="61" t="s">
        <v>9</v>
      </c>
      <c r="M1392" s="857"/>
      <c r="N1392" s="858"/>
      <c r="O1392"/>
      <c r="P1392" s="412"/>
      <c r="Q1392" s="391"/>
      <c r="R1392" s="393"/>
    </row>
    <row r="1393" spans="1:20" ht="30" customHeight="1" x14ac:dyDescent="0.25">
      <c r="A1393" s="61" t="s">
        <v>916</v>
      </c>
      <c r="B1393" s="236" t="s">
        <v>917</v>
      </c>
      <c r="C1393" s="237"/>
      <c r="D1393" s="238"/>
      <c r="E1393" s="781">
        <f>+P890</f>
        <v>439.5</v>
      </c>
      <c r="F1393" s="730" t="s">
        <v>11</v>
      </c>
      <c r="G1393" s="794">
        <v>2.5000000000000001E-2</v>
      </c>
      <c r="H1393" s="609" t="s">
        <v>1258</v>
      </c>
      <c r="I1393" s="751">
        <f>+R890</f>
        <v>1.02</v>
      </c>
      <c r="J1393" s="751">
        <f>+S890</f>
        <v>1.0490196078431373</v>
      </c>
      <c r="K1393" s="530">
        <f>+E1393*G1393*I1393*J1393</f>
        <v>11.756625000000001</v>
      </c>
      <c r="L1393" s="61" t="s">
        <v>9</v>
      </c>
      <c r="M1393" s="857"/>
      <c r="N1393" s="858"/>
      <c r="O1393"/>
      <c r="P1393" s="412"/>
      <c r="Q1393" s="391"/>
      <c r="R1393" s="393"/>
    </row>
    <row r="1394" spans="1:20" ht="30" customHeight="1" x14ac:dyDescent="0.25">
      <c r="A1394" s="61" t="s">
        <v>916</v>
      </c>
      <c r="B1394" s="236" t="s">
        <v>919</v>
      </c>
      <c r="C1394" s="237"/>
      <c r="D1394" s="238"/>
      <c r="E1394" s="781">
        <f>+P892</f>
        <v>316</v>
      </c>
      <c r="F1394" s="730" t="s">
        <v>11</v>
      </c>
      <c r="G1394" s="794">
        <v>2.5000000000000001E-2</v>
      </c>
      <c r="H1394" s="609" t="s">
        <v>1258</v>
      </c>
      <c r="I1394" s="751">
        <f>+R892</f>
        <v>1.02</v>
      </c>
      <c r="J1394" s="751">
        <f>+S892</f>
        <v>1.0490196078431373</v>
      </c>
      <c r="K1394" s="530">
        <f>+E1394*G1394*I1394*J1394</f>
        <v>8.4529999999999994</v>
      </c>
      <c r="L1394" s="61" t="s">
        <v>9</v>
      </c>
      <c r="M1394" s="1067"/>
      <c r="N1394" s="420"/>
      <c r="O1394"/>
      <c r="P1394" s="412"/>
      <c r="Q1394" s="391"/>
      <c r="R1394" s="393"/>
    </row>
    <row r="1395" spans="1:20" ht="30" customHeight="1" x14ac:dyDescent="0.25">
      <c r="A1395" s="61" t="s">
        <v>922</v>
      </c>
      <c r="B1395" s="236" t="s">
        <v>1259</v>
      </c>
      <c r="C1395" s="237"/>
      <c r="D1395" s="238"/>
      <c r="E1395" s="781">
        <f>16.35+0.76</f>
        <v>17.110000000000003</v>
      </c>
      <c r="F1395" s="730" t="s">
        <v>7</v>
      </c>
      <c r="G1395" s="900">
        <f>2400/19600</f>
        <v>0.12244897959183673</v>
      </c>
      <c r="H1395" s="609" t="s">
        <v>1260</v>
      </c>
      <c r="I1395" s="751">
        <f>+R896</f>
        <v>1.02</v>
      </c>
      <c r="J1395" s="751">
        <f>+S896</f>
        <v>1.0490196078431373</v>
      </c>
      <c r="K1395" s="901">
        <f>+E1395*G1395*I1395*J1395</f>
        <v>2.2417591836734703</v>
      </c>
      <c r="L1395" s="61" t="s">
        <v>9</v>
      </c>
      <c r="M1395" s="1067"/>
      <c r="N1395" s="420"/>
      <c r="O1395"/>
      <c r="P1395" s="412"/>
      <c r="Q1395" s="391"/>
      <c r="R1395" s="393"/>
    </row>
    <row r="1396" spans="1:20" ht="30" customHeight="1" x14ac:dyDescent="0.25">
      <c r="A1396" s="61">
        <v>85110</v>
      </c>
      <c r="B1396" s="236" t="s">
        <v>1261</v>
      </c>
      <c r="C1396" s="237"/>
      <c r="D1396" s="238"/>
      <c r="E1396" s="781">
        <f>+P904</f>
        <v>57</v>
      </c>
      <c r="F1396" s="20" t="s">
        <v>3</v>
      </c>
      <c r="G1396" s="794">
        <v>1.01</v>
      </c>
      <c r="H1396" s="609" t="s">
        <v>1262</v>
      </c>
      <c r="I1396" s="818">
        <f>+R904</f>
        <v>0.9432470865927236</v>
      </c>
      <c r="J1396" s="20"/>
      <c r="K1396" s="902">
        <f>+E1396*G1396*I1396</f>
        <v>54.302734775143101</v>
      </c>
      <c r="L1396" s="20" t="s">
        <v>9</v>
      </c>
      <c r="M1396" s="1067"/>
      <c r="N1396" s="420"/>
      <c r="O1396"/>
      <c r="P1396" s="412"/>
      <c r="Q1396" s="391"/>
      <c r="R1396" s="393"/>
    </row>
    <row r="1397" spans="1:20" ht="30" customHeight="1" x14ac:dyDescent="0.25">
      <c r="A1397" s="61">
        <v>85110</v>
      </c>
      <c r="B1397" s="236" t="s">
        <v>1263</v>
      </c>
      <c r="C1397" s="237"/>
      <c r="D1397" s="238"/>
      <c r="E1397" s="781">
        <f>+P903</f>
        <v>18.100000000000001</v>
      </c>
      <c r="F1397" s="730" t="s">
        <v>3</v>
      </c>
      <c r="G1397" s="794">
        <v>0.69</v>
      </c>
      <c r="H1397" s="609" t="s">
        <v>1262</v>
      </c>
      <c r="I1397" s="818">
        <f>+R903</f>
        <v>0.9432470865927236</v>
      </c>
      <c r="J1397" s="20"/>
      <c r="K1397" s="902">
        <f>+E1397*G1397*I1397</f>
        <v>11.780212864456526</v>
      </c>
      <c r="L1397" s="20" t="s">
        <v>9</v>
      </c>
      <c r="M1397" s="903"/>
      <c r="N1397" s="420"/>
      <c r="O1397"/>
      <c r="P1397" s="412"/>
      <c r="Q1397" s="391"/>
      <c r="R1397" s="393"/>
    </row>
    <row r="1398" spans="1:20" ht="30" customHeight="1" x14ac:dyDescent="0.25">
      <c r="A1398" s="61" t="s">
        <v>782</v>
      </c>
      <c r="B1398" s="236" t="s">
        <v>1264</v>
      </c>
      <c r="C1398" s="237"/>
      <c r="D1398" s="238"/>
      <c r="E1398" s="904">
        <v>22.6</v>
      </c>
      <c r="F1398" s="22" t="s">
        <v>212</v>
      </c>
      <c r="G1398" s="905">
        <v>0.9</v>
      </c>
      <c r="H1398" s="758" t="s">
        <v>1265</v>
      </c>
      <c r="I1398" s="20">
        <f>+R902</f>
        <v>1.04</v>
      </c>
      <c r="J1398" s="751">
        <f>+S902</f>
        <v>1.0490196078431373</v>
      </c>
      <c r="K1398" s="904">
        <f>+E1398*G1398*I1398*J1398</f>
        <v>22.190541176470592</v>
      </c>
      <c r="L1398" s="22" t="s">
        <v>9</v>
      </c>
      <c r="M1398" s="1067"/>
      <c r="N1398" s="420"/>
      <c r="O1398"/>
      <c r="P1398" s="412"/>
      <c r="Q1398" s="391"/>
      <c r="R1398" s="393"/>
    </row>
    <row r="1399" spans="1:20" ht="30" customHeight="1" x14ac:dyDescent="0.25">
      <c r="A1399" s="61" t="s">
        <v>849</v>
      </c>
      <c r="B1399" s="236" t="s">
        <v>1266</v>
      </c>
      <c r="C1399" s="237"/>
      <c r="D1399" s="238"/>
      <c r="E1399" s="594">
        <f>+P886</f>
        <v>8.8450000000000006</v>
      </c>
      <c r="F1399" s="730" t="s">
        <v>9</v>
      </c>
      <c r="G1399" s="794">
        <v>0.22</v>
      </c>
      <c r="H1399" s="609" t="s">
        <v>1258</v>
      </c>
      <c r="I1399" s="20">
        <f>R886</f>
        <v>1.04</v>
      </c>
      <c r="J1399" s="751">
        <f>+S886</f>
        <v>1.0490196078431373</v>
      </c>
      <c r="K1399" s="902">
        <f>+E1399*G1399*I1399*J1399</f>
        <v>2.1229387450980397</v>
      </c>
      <c r="L1399" s="20" t="s">
        <v>9</v>
      </c>
      <c r="M1399" s="1067"/>
      <c r="N1399" s="420"/>
      <c r="O1399"/>
      <c r="P1399" s="412"/>
      <c r="Q1399" s="391"/>
      <c r="R1399" s="393"/>
    </row>
    <row r="1400" spans="1:20" ht="30" customHeight="1" x14ac:dyDescent="0.25">
      <c r="A1400" s="61">
        <v>93210</v>
      </c>
      <c r="B1400" s="236" t="s">
        <v>1267</v>
      </c>
      <c r="C1400" s="237"/>
      <c r="D1400" s="238"/>
      <c r="E1400" s="781">
        <f>+P907</f>
        <v>44.901000000000003</v>
      </c>
      <c r="F1400" s="730" t="s">
        <v>307</v>
      </c>
      <c r="G1400" s="900">
        <v>0.217</v>
      </c>
      <c r="H1400" s="609" t="s">
        <v>1268</v>
      </c>
      <c r="I1400" s="818">
        <f>+R907</f>
        <v>0.9432470865927236</v>
      </c>
      <c r="J1400" s="20"/>
      <c r="K1400" s="902">
        <f>+E1400*G1400*I1400</f>
        <v>9.1905440234166758</v>
      </c>
      <c r="L1400" s="20" t="s">
        <v>9</v>
      </c>
      <c r="M1400" s="1067"/>
      <c r="N1400" s="420"/>
      <c r="O1400"/>
      <c r="P1400" s="412"/>
      <c r="Q1400" s="391"/>
      <c r="R1400" s="393"/>
    </row>
    <row r="1401" spans="1:20" ht="30" customHeight="1" x14ac:dyDescent="0.25">
      <c r="A1401" s="61">
        <v>93410</v>
      </c>
      <c r="B1401" s="236" t="s">
        <v>1269</v>
      </c>
      <c r="C1401" s="237"/>
      <c r="D1401" s="238"/>
      <c r="E1401" s="781">
        <f>+P905</f>
        <v>8</v>
      </c>
      <c r="F1401" s="730" t="s">
        <v>307</v>
      </c>
      <c r="G1401" s="900">
        <v>0.10306122448979592</v>
      </c>
      <c r="H1401" s="609" t="s">
        <v>1268</v>
      </c>
      <c r="I1401" s="821">
        <f>+R905</f>
        <v>0.9432470865927236</v>
      </c>
      <c r="J1401" s="20"/>
      <c r="K1401" s="405">
        <f>+E1401*G1401*I1401</f>
        <v>0.77769759792542925</v>
      </c>
      <c r="L1401" s="20" t="s">
        <v>9</v>
      </c>
      <c r="M1401" s="1067"/>
      <c r="N1401" s="420"/>
      <c r="O1401"/>
      <c r="P1401" s="412"/>
      <c r="Q1401" s="391"/>
      <c r="R1401" s="393"/>
    </row>
    <row r="1402" spans="1:20" ht="30" customHeight="1" x14ac:dyDescent="0.25">
      <c r="A1402" s="61"/>
      <c r="B1402" s="192"/>
      <c r="C1402" s="192"/>
      <c r="D1402" s="192"/>
      <c r="E1402" s="405"/>
      <c r="F1402" s="20"/>
      <c r="G1402" s="838"/>
      <c r="H1402" s="754"/>
      <c r="I1402" s="20"/>
      <c r="J1402" s="20" t="s">
        <v>646</v>
      </c>
      <c r="K1402" s="902">
        <f>SUM(K1392:K1401)</f>
        <v>166.53174677794851</v>
      </c>
      <c r="L1402" s="20" t="s">
        <v>9</v>
      </c>
      <c r="M1402" s="1067"/>
      <c r="N1402" s="420"/>
      <c r="O1402"/>
      <c r="P1402" s="412"/>
      <c r="Q1402" s="391"/>
      <c r="R1402" s="393"/>
    </row>
    <row r="1403" spans="1:20" ht="30" customHeight="1" x14ac:dyDescent="0.25">
      <c r="A1403" s="61"/>
      <c r="B1403" s="61"/>
      <c r="C1403" s="63"/>
      <c r="D1403" s="63"/>
      <c r="E1403" s="18"/>
      <c r="F1403" s="18"/>
      <c r="G1403" s="18"/>
      <c r="H1403" s="18"/>
      <c r="I1403" s="18"/>
      <c r="J1403" s="20" t="s">
        <v>358</v>
      </c>
      <c r="K1403" s="23">
        <f>+K1402</f>
        <v>166.53174677794851</v>
      </c>
      <c r="L1403" s="20" t="s">
        <v>9</v>
      </c>
      <c r="M1403" s="906"/>
      <c r="N1403" s="420"/>
      <c r="O1403"/>
      <c r="P1403" s="412"/>
      <c r="Q1403" s="391"/>
      <c r="T1403" s="393"/>
    </row>
    <row r="1404" spans="1:20" ht="30" customHeight="1" x14ac:dyDescent="0.25">
      <c r="A1404" s="24"/>
      <c r="B1404" s="24"/>
      <c r="C1404" s="64"/>
      <c r="D1404" s="64"/>
      <c r="E1404" s="13"/>
      <c r="F1404" s="13"/>
      <c r="G1404" s="413" t="s">
        <v>537</v>
      </c>
      <c r="H1404" s="13"/>
      <c r="I1404" s="13"/>
      <c r="J1404" s="361">
        <f>VLOOKUP(B1387,'Mil Cost Premiums for RUCs'!$A$4:$R$265,18,FALSE)</f>
        <v>1.0821211439999998</v>
      </c>
      <c r="K1404" s="14">
        <f>+K1403*J1404</f>
        <v>180.20752433567193</v>
      </c>
      <c r="L1404" s="10" t="s">
        <v>9</v>
      </c>
      <c r="M1404" s="1067"/>
      <c r="N1404" s="420"/>
      <c r="O1404"/>
      <c r="P1404" s="412"/>
      <c r="Q1404" s="391"/>
      <c r="T1404" s="393"/>
    </row>
    <row r="1405" spans="1:20" ht="75" customHeight="1" x14ac:dyDescent="0.25">
      <c r="A1405" s="580" t="s">
        <v>538</v>
      </c>
      <c r="B1405" s="532"/>
      <c r="C1405" s="532"/>
      <c r="D1405" s="532"/>
      <c r="E1405" s="532"/>
      <c r="F1405" s="532"/>
      <c r="G1405" s="532"/>
      <c r="H1405" s="532"/>
      <c r="I1405" s="532"/>
      <c r="J1405" s="532"/>
      <c r="K1405" s="532"/>
      <c r="L1405" s="533"/>
      <c r="M1405" s="1067"/>
      <c r="N1405" s="420"/>
      <c r="O1405"/>
      <c r="P1405" s="412"/>
      <c r="Q1405" s="391"/>
      <c r="T1405" s="393"/>
    </row>
    <row r="1406" spans="1:20" s="49" customFormat="1" ht="30" customHeight="1" x14ac:dyDescent="0.25">
      <c r="A1406" s="866" t="s">
        <v>539</v>
      </c>
      <c r="B1406" s="867"/>
      <c r="C1406" s="868"/>
      <c r="D1406" s="577" t="s">
        <v>1270</v>
      </c>
      <c r="E1406" s="578"/>
      <c r="F1406" s="578"/>
      <c r="G1406" s="578"/>
      <c r="H1406" s="578"/>
      <c r="I1406" s="578"/>
      <c r="J1406" s="578"/>
      <c r="K1406" s="578"/>
      <c r="L1406" s="579"/>
      <c r="M1406" s="1897"/>
      <c r="N1406" s="420"/>
      <c r="P1406" s="412"/>
      <c r="Q1406" s="391"/>
      <c r="T1406" s="393"/>
    </row>
    <row r="1407" spans="1:20" ht="30" customHeight="1" x14ac:dyDescent="0.25">
      <c r="A1407" s="866" t="s">
        <v>541</v>
      </c>
      <c r="B1407" s="867"/>
      <c r="C1407" s="868"/>
      <c r="D1407" s="580" t="s">
        <v>1271</v>
      </c>
      <c r="E1407" s="532"/>
      <c r="F1407" s="532"/>
      <c r="G1407" s="532"/>
      <c r="H1407" s="532"/>
      <c r="I1407" s="532"/>
      <c r="J1407" s="532"/>
      <c r="K1407" s="532"/>
      <c r="L1407" s="533"/>
      <c r="M1407" s="1067"/>
      <c r="N1407" s="420"/>
      <c r="O1407"/>
      <c r="P1407" s="412"/>
      <c r="Q1407" s="391"/>
      <c r="T1407" s="393"/>
    </row>
    <row r="1408" spans="1:20" ht="45" customHeight="1" x14ac:dyDescent="0.25">
      <c r="A1408" s="866" t="s">
        <v>543</v>
      </c>
      <c r="B1408" s="867"/>
      <c r="C1408" s="868"/>
      <c r="D1408" s="577" t="s">
        <v>1272</v>
      </c>
      <c r="E1408" s="578"/>
      <c r="F1408" s="578"/>
      <c r="G1408" s="578"/>
      <c r="H1408" s="578"/>
      <c r="I1408" s="578"/>
      <c r="J1408" s="578"/>
      <c r="K1408" s="578"/>
      <c r="L1408" s="579"/>
      <c r="M1408" s="1067"/>
      <c r="N1408" s="420"/>
      <c r="O1408"/>
      <c r="P1408" s="412"/>
      <c r="Q1408" s="391"/>
      <c r="T1408" s="393"/>
    </row>
    <row r="1409" spans="1:20" ht="30" customHeight="1" x14ac:dyDescent="0.25">
      <c r="A1409" s="866" t="s">
        <v>546</v>
      </c>
      <c r="B1409" s="867"/>
      <c r="C1409" s="868"/>
      <c r="D1409" s="580" t="s">
        <v>1273</v>
      </c>
      <c r="E1409" s="532"/>
      <c r="F1409" s="532"/>
      <c r="G1409" s="532"/>
      <c r="H1409" s="532"/>
      <c r="I1409" s="532"/>
      <c r="J1409" s="532"/>
      <c r="K1409" s="532"/>
      <c r="L1409" s="533"/>
      <c r="M1409" s="1067"/>
      <c r="N1409" s="420"/>
      <c r="O1409"/>
      <c r="P1409" s="412"/>
      <c r="Q1409" s="391"/>
      <c r="T1409" s="393"/>
    </row>
    <row r="1410" spans="1:20" ht="30" customHeight="1" x14ac:dyDescent="0.25">
      <c r="A1410" s="866" t="s">
        <v>548</v>
      </c>
      <c r="B1410" s="867"/>
      <c r="C1410" s="868"/>
      <c r="D1410" s="580" t="s">
        <v>1274</v>
      </c>
      <c r="E1410" s="532"/>
      <c r="F1410" s="532"/>
      <c r="G1410" s="532"/>
      <c r="H1410" s="532"/>
      <c r="I1410" s="532"/>
      <c r="J1410" s="532"/>
      <c r="K1410" s="532"/>
      <c r="L1410" s="533"/>
      <c r="O1410"/>
      <c r="P1410" s="412"/>
      <c r="Q1410" s="391"/>
      <c r="T1410" s="393"/>
    </row>
    <row r="1411" spans="1:20" ht="30" customHeight="1" x14ac:dyDescent="0.25">
      <c r="A1411" s="866" t="s">
        <v>550</v>
      </c>
      <c r="B1411" s="867"/>
      <c r="C1411" s="868"/>
      <c r="D1411" s="854" t="s">
        <v>1275</v>
      </c>
      <c r="E1411" s="709"/>
      <c r="F1411" s="709"/>
      <c r="G1411" s="709"/>
      <c r="H1411" s="709"/>
      <c r="I1411" s="709"/>
      <c r="J1411" s="709"/>
      <c r="K1411" s="709"/>
      <c r="L1411" s="710"/>
      <c r="M1411" s="1067"/>
      <c r="N1411" s="420"/>
      <c r="O1411"/>
      <c r="P1411" s="412"/>
      <c r="Q1411" s="391"/>
      <c r="T1411" s="393"/>
    </row>
    <row r="1412" spans="1:20" ht="30" customHeight="1" x14ac:dyDescent="0.25">
      <c r="A1412" s="866" t="s">
        <v>552</v>
      </c>
      <c r="B1412" s="867"/>
      <c r="C1412" s="868"/>
      <c r="D1412" s="854" t="s">
        <v>1276</v>
      </c>
      <c r="E1412" s="709"/>
      <c r="F1412" s="709"/>
      <c r="G1412" s="709"/>
      <c r="H1412" s="709"/>
      <c r="I1412" s="709"/>
      <c r="J1412" s="709"/>
      <c r="K1412" s="709"/>
      <c r="L1412" s="710"/>
      <c r="M1412" s="1067"/>
      <c r="N1412" s="420"/>
      <c r="O1412"/>
      <c r="P1412" s="412"/>
      <c r="Q1412" s="391"/>
      <c r="T1412" s="393"/>
    </row>
    <row r="1413" spans="1:20" ht="75" customHeight="1" x14ac:dyDescent="0.25">
      <c r="A1413" s="866" t="s">
        <v>802</v>
      </c>
      <c r="B1413" s="867"/>
      <c r="C1413" s="868"/>
      <c r="D1413" s="851" t="s">
        <v>1277</v>
      </c>
      <c r="E1413" s="852"/>
      <c r="F1413" s="852"/>
      <c r="G1413" s="852"/>
      <c r="H1413" s="852"/>
      <c r="I1413" s="852"/>
      <c r="J1413" s="852"/>
      <c r="K1413" s="852"/>
      <c r="L1413" s="853"/>
      <c r="M1413" s="1067"/>
      <c r="N1413" s="420"/>
      <c r="O1413"/>
      <c r="P1413" s="412"/>
      <c r="Q1413" s="391"/>
      <c r="T1413" s="393"/>
    </row>
    <row r="1414" spans="1:20" ht="60" customHeight="1" thickBot="1" x14ac:dyDescent="0.3">
      <c r="A1414" s="563" t="s">
        <v>556</v>
      </c>
      <c r="B1414" s="383"/>
      <c r="C1414" s="384"/>
      <c r="D1414" s="386" t="s">
        <v>1278</v>
      </c>
      <c r="E1414" s="849"/>
      <c r="F1414" s="849"/>
      <c r="G1414" s="849"/>
      <c r="H1414" s="849"/>
      <c r="I1414" s="849"/>
      <c r="J1414" s="849"/>
      <c r="K1414" s="849"/>
      <c r="L1414" s="850"/>
      <c r="M1414" s="1067"/>
      <c r="N1414" s="420"/>
      <c r="O1414"/>
      <c r="P1414" s="412"/>
      <c r="Q1414" s="391"/>
      <c r="T1414" s="393"/>
    </row>
    <row r="1415" spans="1:20" ht="30" customHeight="1" thickBot="1" x14ac:dyDescent="0.3">
      <c r="A1415" s="76"/>
      <c r="B1415" s="77"/>
      <c r="C1415" s="77"/>
      <c r="D1415" s="77"/>
      <c r="E1415" s="77"/>
      <c r="F1415" s="77"/>
      <c r="G1415" s="77"/>
      <c r="H1415" s="77"/>
      <c r="I1415" s="77"/>
      <c r="J1415" s="77"/>
      <c r="K1415" s="77"/>
      <c r="L1415" s="78"/>
      <c r="M1415" s="1067"/>
      <c r="N1415" s="420"/>
      <c r="O1415"/>
      <c r="P1415" s="412"/>
      <c r="Q1415" s="391"/>
      <c r="T1415" s="393"/>
    </row>
    <row r="1416" spans="1:20" ht="81.75" customHeight="1" x14ac:dyDescent="0.25">
      <c r="A1416" s="30" t="s">
        <v>288</v>
      </c>
      <c r="B1416" s="31">
        <v>1797</v>
      </c>
      <c r="C1416" s="161" t="s">
        <v>1279</v>
      </c>
      <c r="D1416" s="162"/>
      <c r="E1416" s="36" t="s">
        <v>291</v>
      </c>
      <c r="F1416" s="37" t="s">
        <v>38</v>
      </c>
      <c r="G1416" s="163" t="s">
        <v>1280</v>
      </c>
      <c r="H1416" s="487">
        <v>1</v>
      </c>
      <c r="I1416" s="36" t="s">
        <v>292</v>
      </c>
      <c r="J1416" s="38" t="s">
        <v>3385</v>
      </c>
      <c r="K1416" s="38"/>
      <c r="L1416" s="389"/>
      <c r="M1416" s="1067"/>
      <c r="N1416" s="420"/>
      <c r="O1416"/>
      <c r="P1416" s="412"/>
      <c r="Q1416" s="391"/>
      <c r="T1416" s="393"/>
    </row>
    <row r="1417" spans="1:20" ht="30" customHeight="1" x14ac:dyDescent="0.25">
      <c r="A1417" s="44" t="s">
        <v>913</v>
      </c>
      <c r="B1417" s="490" t="s">
        <v>560</v>
      </c>
      <c r="C1417" s="491"/>
      <c r="D1417" s="492"/>
      <c r="E1417" s="793" t="s">
        <v>519</v>
      </c>
      <c r="F1417" s="793" t="s">
        <v>561</v>
      </c>
      <c r="G1417" s="626" t="s">
        <v>562</v>
      </c>
      <c r="H1417" s="627"/>
      <c r="I1417" s="181" t="s">
        <v>530</v>
      </c>
      <c r="J1417" s="675" t="s">
        <v>533</v>
      </c>
      <c r="K1417" s="507" t="s">
        <v>521</v>
      </c>
      <c r="L1417" s="508"/>
      <c r="M1417" s="1067"/>
      <c r="N1417" s="420"/>
      <c r="O1417"/>
      <c r="P1417" s="412"/>
      <c r="Q1417" s="391"/>
      <c r="T1417" s="393"/>
    </row>
    <row r="1418" spans="1:20" ht="30" customHeight="1" x14ac:dyDescent="0.25">
      <c r="A1418" s="61" t="s">
        <v>849</v>
      </c>
      <c r="B1418" s="236" t="s">
        <v>1281</v>
      </c>
      <c r="C1418" s="237"/>
      <c r="D1418" s="238"/>
      <c r="E1418" s="594">
        <f>+P886</f>
        <v>8.8450000000000006</v>
      </c>
      <c r="F1418" s="730" t="s">
        <v>9</v>
      </c>
      <c r="G1418" s="777">
        <v>104</v>
      </c>
      <c r="H1418" s="609" t="s">
        <v>915</v>
      </c>
      <c r="I1418" s="20">
        <f>+R886</f>
        <v>1.04</v>
      </c>
      <c r="J1418" s="751">
        <f>+S886</f>
        <v>1.0490196078431373</v>
      </c>
      <c r="K1418" s="405">
        <f>+E1418*G1418*I1418*J1418</f>
        <v>1003.5710431372551</v>
      </c>
      <c r="L1418" s="61" t="s">
        <v>38</v>
      </c>
      <c r="M1418" s="1067"/>
      <c r="N1418" s="420"/>
      <c r="O1418"/>
      <c r="P1418" s="412"/>
      <c r="Q1418" s="391"/>
      <c r="T1418" s="393"/>
    </row>
    <row r="1419" spans="1:20" ht="30" customHeight="1" x14ac:dyDescent="0.25">
      <c r="A1419" s="61" t="s">
        <v>849</v>
      </c>
      <c r="B1419" s="236" t="s">
        <v>1282</v>
      </c>
      <c r="C1419" s="237"/>
      <c r="D1419" s="238"/>
      <c r="E1419" s="594">
        <f>+P886</f>
        <v>8.8450000000000006</v>
      </c>
      <c r="F1419" s="730" t="s">
        <v>9</v>
      </c>
      <c r="G1419" s="777">
        <f>2*144</f>
        <v>288</v>
      </c>
      <c r="H1419" s="609" t="s">
        <v>915</v>
      </c>
      <c r="I1419" s="20">
        <f>+R886</f>
        <v>1.04</v>
      </c>
      <c r="J1419" s="751">
        <f>+S886</f>
        <v>1.0490196078431373</v>
      </c>
      <c r="K1419" s="405">
        <f>+E1419*G1419*I1419*J1419</f>
        <v>2779.1198117647064</v>
      </c>
      <c r="L1419" s="61" t="s">
        <v>38</v>
      </c>
      <c r="M1419" s="1067"/>
      <c r="N1419" s="420"/>
      <c r="O1419"/>
      <c r="P1419" s="412"/>
      <c r="Q1419" s="391"/>
      <c r="T1419" s="393"/>
    </row>
    <row r="1420" spans="1:20" ht="30" customHeight="1" x14ac:dyDescent="0.25">
      <c r="A1420" s="61">
        <v>93410</v>
      </c>
      <c r="B1420" s="236" t="s">
        <v>1283</v>
      </c>
      <c r="C1420" s="237"/>
      <c r="D1420" s="238"/>
      <c r="E1420" s="781">
        <f>+P905</f>
        <v>8</v>
      </c>
      <c r="F1420" s="730" t="s">
        <v>307</v>
      </c>
      <c r="G1420" s="839">
        <f>2.6*4</f>
        <v>10.4</v>
      </c>
      <c r="H1420" s="609" t="s">
        <v>927</v>
      </c>
      <c r="I1420" s="818">
        <f>+R905</f>
        <v>0.9432470865927236</v>
      </c>
      <c r="J1420" s="20"/>
      <c r="K1420" s="405">
        <f>+E1420*G1420*I1420</f>
        <v>78.478157604514607</v>
      </c>
      <c r="L1420" s="61" t="s">
        <v>38</v>
      </c>
      <c r="M1420" s="1067"/>
      <c r="N1420" s="420"/>
      <c r="O1420"/>
      <c r="P1420" s="412"/>
      <c r="Q1420" s="391"/>
      <c r="T1420" s="393"/>
    </row>
    <row r="1421" spans="1:20" ht="30" customHeight="1" x14ac:dyDescent="0.25">
      <c r="A1421" s="61">
        <v>93410</v>
      </c>
      <c r="B1421" s="236" t="s">
        <v>1284</v>
      </c>
      <c r="C1421" s="237"/>
      <c r="D1421" s="238"/>
      <c r="E1421" s="781">
        <f>+P905</f>
        <v>8</v>
      </c>
      <c r="F1421" s="730" t="s">
        <v>307</v>
      </c>
      <c r="G1421" s="777">
        <v>26</v>
      </c>
      <c r="H1421" s="609" t="s">
        <v>927</v>
      </c>
      <c r="I1421" s="821">
        <f>+R905</f>
        <v>0.9432470865927236</v>
      </c>
      <c r="J1421" s="20"/>
      <c r="K1421" s="405">
        <f>+E1421*G1421*I1421</f>
        <v>196.19539401128651</v>
      </c>
      <c r="L1421" s="61" t="s">
        <v>38</v>
      </c>
      <c r="M1421" s="1067"/>
      <c r="N1421" s="420"/>
      <c r="O1421"/>
      <c r="P1421" s="412"/>
      <c r="Q1421" s="391"/>
      <c r="T1421" s="393"/>
    </row>
    <row r="1422" spans="1:20" ht="30" customHeight="1" x14ac:dyDescent="0.25">
      <c r="A1422" s="61">
        <v>93210</v>
      </c>
      <c r="B1422" s="236" t="s">
        <v>1285</v>
      </c>
      <c r="C1422" s="237"/>
      <c r="D1422" s="238"/>
      <c r="E1422" s="781">
        <f>+P907</f>
        <v>44.901000000000003</v>
      </c>
      <c r="F1422" s="730" t="s">
        <v>307</v>
      </c>
      <c r="G1422" s="777">
        <v>26</v>
      </c>
      <c r="H1422" s="609" t="s">
        <v>927</v>
      </c>
      <c r="I1422" s="821">
        <f>+R907</f>
        <v>0.9432470865927236</v>
      </c>
      <c r="J1422" s="20"/>
      <c r="K1422" s="405">
        <f>+E1422*G1422*I1422</f>
        <v>1101.1711733125971</v>
      </c>
      <c r="L1422" s="61" t="s">
        <v>38</v>
      </c>
      <c r="M1422" s="1067"/>
      <c r="N1422" s="420"/>
      <c r="O1422"/>
      <c r="P1422" s="412"/>
      <c r="Q1422" s="391"/>
      <c r="T1422" s="393"/>
    </row>
    <row r="1423" spans="1:20" ht="30" customHeight="1" x14ac:dyDescent="0.25">
      <c r="A1423" s="61"/>
      <c r="B1423" s="192"/>
      <c r="C1423" s="192"/>
      <c r="D1423" s="192"/>
      <c r="E1423" s="405"/>
      <c r="F1423" s="20"/>
      <c r="G1423" s="838"/>
      <c r="H1423" s="754"/>
      <c r="I1423" s="20"/>
      <c r="J1423" s="20" t="s">
        <v>646</v>
      </c>
      <c r="K1423" s="405">
        <f>SUM(K1418:K1422)</f>
        <v>5158.5355798303599</v>
      </c>
      <c r="L1423" s="61" t="s">
        <v>38</v>
      </c>
      <c r="M1423" s="1067"/>
      <c r="N1423" s="420"/>
      <c r="O1423"/>
      <c r="P1423" s="412"/>
      <c r="Q1423" s="391"/>
      <c r="T1423" s="393"/>
    </row>
    <row r="1424" spans="1:20" ht="30" customHeight="1" thickBot="1" x14ac:dyDescent="0.3">
      <c r="A1424" s="61"/>
      <c r="B1424" s="61"/>
      <c r="C1424" s="63"/>
      <c r="D1424" s="63"/>
      <c r="E1424" s="18"/>
      <c r="F1424" s="18"/>
      <c r="G1424" s="413" t="s">
        <v>537</v>
      </c>
      <c r="H1424" s="18"/>
      <c r="I1424" s="18"/>
      <c r="J1424" s="361">
        <f>VLOOKUP(B1416,'Mil Cost Premiums for RUCs'!$A$4:$R$265,18,FALSE)</f>
        <v>1.0485669999999998</v>
      </c>
      <c r="K1424" s="23">
        <f>+K1423*J1424</f>
        <v>5409.0701773359797</v>
      </c>
      <c r="L1424" s="61" t="s">
        <v>38</v>
      </c>
      <c r="M1424" s="906"/>
      <c r="N1424" s="420"/>
      <c r="O1424"/>
      <c r="P1424" s="412"/>
      <c r="Q1424" s="391"/>
      <c r="T1424" s="393"/>
    </row>
    <row r="1425" spans="1:20" ht="30" customHeight="1" thickBot="1" x14ac:dyDescent="0.3">
      <c r="A1425" s="76"/>
      <c r="B1425" s="77"/>
      <c r="C1425" s="77"/>
      <c r="D1425" s="77"/>
      <c r="E1425" s="77"/>
      <c r="F1425" s="77"/>
      <c r="G1425" s="77"/>
      <c r="H1425" s="77"/>
      <c r="I1425" s="77"/>
      <c r="J1425" s="77"/>
      <c r="K1425" s="77"/>
      <c r="L1425" s="78"/>
      <c r="M1425" s="1067"/>
      <c r="N1425" s="420"/>
      <c r="O1425"/>
      <c r="P1425" s="412"/>
      <c r="Q1425" s="391"/>
      <c r="T1425" s="393"/>
    </row>
    <row r="1426" spans="1:20" ht="75" customHeight="1" x14ac:dyDescent="0.25">
      <c r="A1426" s="30" t="s">
        <v>288</v>
      </c>
      <c r="B1426" s="31">
        <v>1798</v>
      </c>
      <c r="C1426" s="863" t="s">
        <v>1286</v>
      </c>
      <c r="D1426" s="864"/>
      <c r="E1426" s="36" t="s">
        <v>291</v>
      </c>
      <c r="F1426" s="37" t="s">
        <v>11</v>
      </c>
      <c r="G1426" s="163" t="s">
        <v>1287</v>
      </c>
      <c r="H1426" s="487">
        <v>1</v>
      </c>
      <c r="I1426" s="36" t="s">
        <v>292</v>
      </c>
      <c r="J1426" s="38" t="s">
        <v>3385</v>
      </c>
      <c r="K1426" s="38"/>
      <c r="L1426" s="389"/>
      <c r="M1426" s="1067"/>
      <c r="N1426" s="420"/>
      <c r="O1426"/>
      <c r="P1426" s="412"/>
      <c r="Q1426" s="391"/>
      <c r="T1426" s="393"/>
    </row>
    <row r="1427" spans="1:20" ht="30" customHeight="1" x14ac:dyDescent="0.25">
      <c r="A1427" s="44" t="s">
        <v>913</v>
      </c>
      <c r="B1427" s="394" t="s">
        <v>560</v>
      </c>
      <c r="C1427" s="395"/>
      <c r="D1427" s="396"/>
      <c r="E1427" s="397" t="s">
        <v>519</v>
      </c>
      <c r="F1427" s="397" t="s">
        <v>561</v>
      </c>
      <c r="G1427" s="398" t="s">
        <v>562</v>
      </c>
      <c r="H1427" s="399"/>
      <c r="I1427" s="181" t="s">
        <v>530</v>
      </c>
      <c r="J1427" s="400" t="s">
        <v>533</v>
      </c>
      <c r="K1427" s="507" t="s">
        <v>521</v>
      </c>
      <c r="L1427" s="508"/>
      <c r="M1427" s="1067"/>
      <c r="N1427" s="420"/>
      <c r="O1427"/>
      <c r="P1427" s="412"/>
      <c r="Q1427" s="391"/>
      <c r="T1427" s="393"/>
    </row>
    <row r="1428" spans="1:20" ht="30" customHeight="1" x14ac:dyDescent="0.25">
      <c r="A1428" s="61" t="s">
        <v>849</v>
      </c>
      <c r="B1428" s="402" t="s">
        <v>1288</v>
      </c>
      <c r="C1428" s="403"/>
      <c r="D1428" s="404"/>
      <c r="E1428" s="781">
        <f>+P887</f>
        <v>10.805</v>
      </c>
      <c r="F1428" s="20" t="s">
        <v>9</v>
      </c>
      <c r="G1428" s="777">
        <f>(720*10.7639)</f>
        <v>7750.0079999999998</v>
      </c>
      <c r="H1428" s="609" t="s">
        <v>1062</v>
      </c>
      <c r="I1428" s="20">
        <f>+R887</f>
        <v>1.04</v>
      </c>
      <c r="J1428" s="751">
        <f>+S887</f>
        <v>1.0490196078431373</v>
      </c>
      <c r="K1428" s="530">
        <f>+E1428*G1428*I1428*J1428</f>
        <v>91357.428618070597</v>
      </c>
      <c r="L1428" s="61" t="s">
        <v>11</v>
      </c>
      <c r="M1428" s="1067"/>
      <c r="N1428" s="420"/>
      <c r="O1428"/>
      <c r="P1428" s="412"/>
      <c r="Q1428" s="391"/>
      <c r="T1428" s="393"/>
    </row>
    <row r="1429" spans="1:20" s="27" customFormat="1" ht="30" customHeight="1" x14ac:dyDescent="0.25">
      <c r="A1429" s="61" t="s">
        <v>849</v>
      </c>
      <c r="B1429" s="402" t="s">
        <v>1289</v>
      </c>
      <c r="C1429" s="403"/>
      <c r="D1429" s="404"/>
      <c r="E1429" s="594">
        <f>+P886</f>
        <v>8.8450000000000006</v>
      </c>
      <c r="F1429" s="730" t="s">
        <v>9</v>
      </c>
      <c r="G1429" s="777">
        <f>3*144</f>
        <v>432</v>
      </c>
      <c r="H1429" s="609" t="s">
        <v>1062</v>
      </c>
      <c r="I1429" s="20">
        <f>+R886</f>
        <v>1.04</v>
      </c>
      <c r="J1429" s="751">
        <f>+S886</f>
        <v>1.0490196078431373</v>
      </c>
      <c r="K1429" s="530">
        <f>+E1429*G1429*I1429*J1429</f>
        <v>4168.67971764706</v>
      </c>
      <c r="L1429" s="61" t="s">
        <v>11</v>
      </c>
      <c r="M1429" s="1903"/>
      <c r="N1429" s="486"/>
      <c r="P1429" s="908"/>
      <c r="Q1429" s="907"/>
      <c r="T1429" s="909"/>
    </row>
    <row r="1430" spans="1:20" ht="30" customHeight="1" x14ac:dyDescent="0.25">
      <c r="A1430" s="61">
        <v>93410</v>
      </c>
      <c r="B1430" s="402" t="s">
        <v>1290</v>
      </c>
      <c r="C1430" s="403"/>
      <c r="D1430" s="404"/>
      <c r="E1430" s="781">
        <f>+P905</f>
        <v>8</v>
      </c>
      <c r="F1430" s="730" t="s">
        <v>307</v>
      </c>
      <c r="G1430" s="777">
        <v>1883</v>
      </c>
      <c r="H1430" s="609" t="s">
        <v>1070</v>
      </c>
      <c r="I1430" s="818">
        <f>+R905</f>
        <v>0.9432470865927236</v>
      </c>
      <c r="J1430" s="20"/>
      <c r="K1430" s="530">
        <f>+E1430*G1430*I1430</f>
        <v>14209.074112432789</v>
      </c>
      <c r="L1430" s="61" t="s">
        <v>11</v>
      </c>
      <c r="M1430" s="1067"/>
      <c r="N1430" s="420"/>
      <c r="O1430"/>
      <c r="P1430" s="412"/>
      <c r="Q1430" s="391"/>
      <c r="T1430" s="393"/>
    </row>
    <row r="1431" spans="1:20" ht="30" customHeight="1" x14ac:dyDescent="0.25">
      <c r="A1431" s="61">
        <v>93210</v>
      </c>
      <c r="B1431" s="402" t="s">
        <v>1291</v>
      </c>
      <c r="C1431" s="403"/>
      <c r="D1431" s="404"/>
      <c r="E1431" s="781">
        <f>+P907</f>
        <v>44.901000000000003</v>
      </c>
      <c r="F1431" s="730" t="s">
        <v>307</v>
      </c>
      <c r="G1431" s="777">
        <v>205</v>
      </c>
      <c r="H1431" s="609" t="s">
        <v>1070</v>
      </c>
      <c r="I1431" s="818">
        <f>+R907</f>
        <v>0.9432470865927236</v>
      </c>
      <c r="J1431" s="20"/>
      <c r="K1431" s="530">
        <f>+E1431*G1431*I1431</f>
        <v>8682.3111741954763</v>
      </c>
      <c r="L1431" s="61" t="s">
        <v>11</v>
      </c>
      <c r="M1431" s="1067"/>
      <c r="N1431" s="420"/>
      <c r="O1431"/>
      <c r="P1431" s="412"/>
      <c r="Q1431" s="391"/>
      <c r="T1431" s="393"/>
    </row>
    <row r="1432" spans="1:20" ht="30" customHeight="1" x14ac:dyDescent="0.25">
      <c r="A1432" s="61"/>
      <c r="B1432" s="191"/>
      <c r="C1432" s="191"/>
      <c r="D1432" s="191"/>
      <c r="E1432" s="405"/>
      <c r="F1432" s="20"/>
      <c r="G1432" s="838"/>
      <c r="H1432" s="754"/>
      <c r="I1432" s="20"/>
      <c r="J1432" s="20" t="s">
        <v>646</v>
      </c>
      <c r="K1432" s="530">
        <f>SUM(K1428:K1431)</f>
        <v>118417.49362234592</v>
      </c>
      <c r="L1432" s="61" t="s">
        <v>11</v>
      </c>
      <c r="M1432" s="1067"/>
      <c r="N1432" s="420"/>
      <c r="O1432"/>
      <c r="P1432" s="412"/>
      <c r="Q1432" s="391"/>
      <c r="T1432" s="393"/>
    </row>
    <row r="1433" spans="1:20" ht="30" customHeight="1" thickBot="1" x14ac:dyDescent="0.3">
      <c r="A1433" s="20"/>
      <c r="B1433" s="20"/>
      <c r="C1433" s="18"/>
      <c r="D1433" s="18"/>
      <c r="E1433" s="18"/>
      <c r="F1433" s="18"/>
      <c r="G1433" s="413" t="s">
        <v>537</v>
      </c>
      <c r="H1433" s="18"/>
      <c r="I1433" s="18"/>
      <c r="J1433" s="361">
        <f>VLOOKUP(B1426,'Mil Cost Premiums for RUCs'!$A$4:$R$265,18,FALSE)</f>
        <v>1.0485669999999998</v>
      </c>
      <c r="K1433" s="23">
        <f>+K1432*J1433</f>
        <v>124168.67603510237</v>
      </c>
      <c r="L1433" s="20" t="s">
        <v>11</v>
      </c>
      <c r="M1433" s="1067"/>
      <c r="N1433" s="420"/>
      <c r="O1433"/>
      <c r="P1433" s="412"/>
      <c r="Q1433" s="391"/>
      <c r="T1433" s="393"/>
    </row>
    <row r="1434" spans="1:20" ht="30" customHeight="1" thickBot="1" x14ac:dyDescent="0.3">
      <c r="A1434" s="76"/>
      <c r="B1434" s="77"/>
      <c r="C1434" s="77"/>
      <c r="D1434" s="77"/>
      <c r="E1434" s="77"/>
      <c r="F1434" s="77"/>
      <c r="G1434" s="77"/>
      <c r="H1434" s="77"/>
      <c r="I1434" s="77"/>
      <c r="J1434" s="77"/>
      <c r="K1434" s="77"/>
      <c r="L1434" s="78"/>
      <c r="M1434" s="1067"/>
      <c r="N1434" s="1904"/>
      <c r="O1434"/>
      <c r="P1434" s="412"/>
      <c r="Q1434" s="391"/>
      <c r="T1434" s="393"/>
    </row>
    <row r="1435" spans="1:20" s="49" customFormat="1" ht="30" customHeight="1" x14ac:dyDescent="0.25">
      <c r="A1435" s="30" t="s">
        <v>288</v>
      </c>
      <c r="B1435" s="31">
        <v>1799</v>
      </c>
      <c r="C1435" s="910" t="s">
        <v>1292</v>
      </c>
      <c r="D1435" s="911"/>
      <c r="E1435" s="36" t="s">
        <v>291</v>
      </c>
      <c r="F1435" s="37" t="s">
        <v>11</v>
      </c>
      <c r="G1435" s="163" t="s">
        <v>290</v>
      </c>
      <c r="H1435" s="487">
        <v>1</v>
      </c>
      <c r="I1435" s="36" t="s">
        <v>1293</v>
      </c>
      <c r="J1435" s="747" t="s">
        <v>883</v>
      </c>
      <c r="K1435" s="747"/>
      <c r="L1435" s="748"/>
      <c r="M1435" s="1897"/>
      <c r="N1435" s="420"/>
      <c r="P1435" s="412"/>
      <c r="Q1435" s="391"/>
      <c r="T1435" s="393"/>
    </row>
    <row r="1436" spans="1:20" ht="30" customHeight="1" x14ac:dyDescent="0.25">
      <c r="A1436" s="44" t="s">
        <v>913</v>
      </c>
      <c r="B1436" s="912" t="s">
        <v>1294</v>
      </c>
      <c r="C1436" s="913"/>
      <c r="D1436" s="914"/>
      <c r="E1436" s="397" t="s">
        <v>519</v>
      </c>
      <c r="F1436" s="397" t="s">
        <v>561</v>
      </c>
      <c r="G1436" s="398" t="s">
        <v>562</v>
      </c>
      <c r="H1436" s="399"/>
      <c r="I1436" s="181" t="s">
        <v>530</v>
      </c>
      <c r="J1436" s="181"/>
      <c r="K1436" s="185" t="s">
        <v>1295</v>
      </c>
      <c r="L1436" s="185"/>
      <c r="M1436" s="1330"/>
      <c r="N1436" s="420"/>
      <c r="O1436"/>
      <c r="P1436" s="412"/>
      <c r="Q1436" s="391"/>
      <c r="T1436" s="393"/>
    </row>
    <row r="1437" spans="1:20" ht="30" customHeight="1" x14ac:dyDescent="0.25">
      <c r="A1437" s="61" t="s">
        <v>782</v>
      </c>
      <c r="B1437" s="217" t="s">
        <v>1296</v>
      </c>
      <c r="C1437" s="218"/>
      <c r="D1437" s="219"/>
      <c r="E1437" s="594">
        <v>6.24</v>
      </c>
      <c r="F1437" s="730" t="s">
        <v>307</v>
      </c>
      <c r="G1437" s="777">
        <v>2040</v>
      </c>
      <c r="H1437" s="609" t="s">
        <v>1297</v>
      </c>
      <c r="I1437" s="759">
        <v>1.04</v>
      </c>
      <c r="J1437" s="20"/>
      <c r="K1437" s="405">
        <f t="shared" ref="K1437:K1442" si="28">+J1437+E1437*G1437*I1437</f>
        <v>13238.784000000001</v>
      </c>
      <c r="L1437" s="20" t="s">
        <v>335</v>
      </c>
      <c r="M1437" s="1330"/>
      <c r="N1437" s="420"/>
      <c r="O1437"/>
      <c r="P1437" s="412"/>
      <c r="Q1437" s="391"/>
      <c r="T1437" s="393"/>
    </row>
    <row r="1438" spans="1:20" ht="30" customHeight="1" x14ac:dyDescent="0.25">
      <c r="A1438" s="61" t="s">
        <v>906</v>
      </c>
      <c r="B1438" s="236" t="s">
        <v>1298</v>
      </c>
      <c r="C1438" s="139"/>
      <c r="D1438" s="140"/>
      <c r="E1438" s="594">
        <v>0.27</v>
      </c>
      <c r="F1438" s="730" t="s">
        <v>9</v>
      </c>
      <c r="G1438" s="777">
        <f>3060*9</f>
        <v>27540</v>
      </c>
      <c r="H1438" s="609" t="s">
        <v>1299</v>
      </c>
      <c r="I1438" s="759">
        <v>1.04</v>
      </c>
      <c r="J1438" s="20"/>
      <c r="K1438" s="405">
        <f t="shared" si="28"/>
        <v>7733.2320000000009</v>
      </c>
      <c r="L1438" s="20" t="s">
        <v>335</v>
      </c>
      <c r="M1438" s="1330"/>
      <c r="N1438" s="420"/>
      <c r="O1438"/>
      <c r="P1438" s="412"/>
      <c r="Q1438" s="391"/>
      <c r="T1438" s="393"/>
    </row>
    <row r="1439" spans="1:20" ht="30" customHeight="1" x14ac:dyDescent="0.25">
      <c r="A1439" s="61" t="s">
        <v>782</v>
      </c>
      <c r="B1439" s="236" t="s">
        <v>1300</v>
      </c>
      <c r="C1439" s="139"/>
      <c r="D1439" s="140"/>
      <c r="E1439" s="594">
        <f>+(0.61+4.54)/2</f>
        <v>2.5750000000000002</v>
      </c>
      <c r="F1439" s="730" t="s">
        <v>3</v>
      </c>
      <c r="G1439" s="777">
        <v>3060</v>
      </c>
      <c r="H1439" s="609"/>
      <c r="I1439" s="759">
        <v>1.04</v>
      </c>
      <c r="J1439" s="20"/>
      <c r="K1439" s="405">
        <f t="shared" si="28"/>
        <v>8194.6800000000021</v>
      </c>
      <c r="L1439" s="20" t="s">
        <v>335</v>
      </c>
      <c r="M1439" s="925"/>
      <c r="N1439" s="420"/>
      <c r="O1439"/>
      <c r="P1439" s="412"/>
      <c r="Q1439" s="391"/>
      <c r="T1439" s="393"/>
    </row>
    <row r="1440" spans="1:20" ht="30" customHeight="1" x14ac:dyDescent="0.25">
      <c r="A1440" s="24" t="s">
        <v>906</v>
      </c>
      <c r="B1440" s="575" t="s">
        <v>1301</v>
      </c>
      <c r="C1440" s="893"/>
      <c r="D1440" s="894"/>
      <c r="E1440" s="915">
        <v>0.41</v>
      </c>
      <c r="F1440" s="10" t="s">
        <v>9</v>
      </c>
      <c r="G1440" s="777">
        <f>3060*9</f>
        <v>27540</v>
      </c>
      <c r="H1440" s="609" t="s">
        <v>1299</v>
      </c>
      <c r="I1440" s="886">
        <v>1.04</v>
      </c>
      <c r="J1440" s="10"/>
      <c r="K1440" s="405">
        <f t="shared" si="28"/>
        <v>11743.056</v>
      </c>
      <c r="L1440" s="20" t="s">
        <v>335</v>
      </c>
      <c r="M1440" s="1495"/>
      <c r="N1440" s="420"/>
      <c r="O1440"/>
      <c r="P1440" s="412"/>
      <c r="Q1440" s="391"/>
      <c r="T1440" s="393"/>
    </row>
    <row r="1441" spans="1:21" ht="30" customHeight="1" x14ac:dyDescent="0.25">
      <c r="A1441" s="61" t="s">
        <v>1302</v>
      </c>
      <c r="B1441" s="217" t="s">
        <v>1303</v>
      </c>
      <c r="C1441" s="218"/>
      <c r="D1441" s="219"/>
      <c r="E1441" s="781">
        <f>(20.85+31.25)/2</f>
        <v>26.05</v>
      </c>
      <c r="F1441" s="730" t="s">
        <v>7</v>
      </c>
      <c r="G1441" s="777">
        <f>18*4*20</f>
        <v>1440</v>
      </c>
      <c r="H1441" s="609" t="s">
        <v>7</v>
      </c>
      <c r="I1441" s="751">
        <v>1.05</v>
      </c>
      <c r="J1441" s="20"/>
      <c r="K1441" s="405">
        <f t="shared" si="28"/>
        <v>39387.599999999999</v>
      </c>
      <c r="L1441" s="20" t="s">
        <v>335</v>
      </c>
      <c r="M1441" s="1067"/>
      <c r="N1441" s="420"/>
      <c r="O1441"/>
      <c r="P1441" s="412"/>
      <c r="Q1441" s="391"/>
      <c r="T1441" s="393"/>
    </row>
    <row r="1442" spans="1:21" ht="30" customHeight="1" x14ac:dyDescent="0.25">
      <c r="A1442" s="61" t="s">
        <v>1302</v>
      </c>
      <c r="B1442" s="217" t="s">
        <v>1304</v>
      </c>
      <c r="C1442" s="218"/>
      <c r="D1442" s="219"/>
      <c r="E1442" s="781">
        <f>(4.36+4.97)/2</f>
        <v>4.665</v>
      </c>
      <c r="F1442" s="730" t="s">
        <v>7</v>
      </c>
      <c r="G1442" s="777">
        <f>18*14*10</f>
        <v>2520</v>
      </c>
      <c r="H1442" s="609" t="s">
        <v>7</v>
      </c>
      <c r="I1442" s="751">
        <v>1.05</v>
      </c>
      <c r="J1442" s="20"/>
      <c r="K1442" s="405">
        <f t="shared" si="28"/>
        <v>12343.59</v>
      </c>
      <c r="L1442" s="20" t="s">
        <v>335</v>
      </c>
      <c r="M1442" s="1067"/>
      <c r="N1442" s="420"/>
      <c r="O1442"/>
      <c r="P1442" s="412"/>
      <c r="Q1442" s="391"/>
      <c r="T1442" s="393"/>
    </row>
    <row r="1443" spans="1:21" ht="30" customHeight="1" x14ac:dyDescent="0.25">
      <c r="A1443" s="61"/>
      <c r="B1443" s="192"/>
      <c r="C1443" s="192"/>
      <c r="D1443" s="192"/>
      <c r="E1443" s="530"/>
      <c r="F1443" s="61"/>
      <c r="G1443" s="916"/>
      <c r="H1443" s="646"/>
      <c r="I1443" s="61"/>
      <c r="J1443" s="20" t="s">
        <v>646</v>
      </c>
      <c r="K1443" s="405">
        <f>SUM(K1437:K1442)</f>
        <v>92640.94200000001</v>
      </c>
      <c r="L1443" s="20" t="s">
        <v>335</v>
      </c>
      <c r="M1443" s="1067"/>
      <c r="N1443" s="420"/>
      <c r="O1443"/>
      <c r="P1443" s="412"/>
      <c r="Q1443" s="391"/>
      <c r="T1443" s="393"/>
    </row>
    <row r="1444" spans="1:21" ht="30" customHeight="1" x14ac:dyDescent="0.25">
      <c r="A1444" s="61"/>
      <c r="B1444" s="498"/>
      <c r="C1444" s="498"/>
      <c r="D1444" s="498"/>
      <c r="E1444" s="530"/>
      <c r="F1444" s="676" t="s">
        <v>533</v>
      </c>
      <c r="G1444" s="677" t="s">
        <v>534</v>
      </c>
      <c r="H1444" s="677"/>
      <c r="I1444" s="677"/>
      <c r="J1444" s="677"/>
      <c r="K1444" s="340">
        <v>1.07</v>
      </c>
      <c r="L1444" s="24"/>
      <c r="M1444" s="1067"/>
      <c r="N1444" s="420"/>
      <c r="O1444"/>
      <c r="P1444" s="412"/>
      <c r="Q1444" s="391"/>
      <c r="T1444" s="393"/>
    </row>
    <row r="1445" spans="1:21" s="49" customFormat="1" ht="30" customHeight="1" x14ac:dyDescent="0.25">
      <c r="A1445" s="61"/>
      <c r="B1445" s="498"/>
      <c r="C1445" s="498"/>
      <c r="D1445" s="498"/>
      <c r="E1445" s="530"/>
      <c r="F1445" s="678"/>
      <c r="G1445" s="679" t="s">
        <v>535</v>
      </c>
      <c r="H1445" s="679"/>
      <c r="I1445" s="679"/>
      <c r="J1445" s="679"/>
      <c r="K1445" s="340">
        <v>1.02</v>
      </c>
      <c r="L1445" s="24"/>
      <c r="M1445" s="1897"/>
      <c r="N1445" s="420"/>
      <c r="P1445" s="412"/>
      <c r="Q1445" s="391"/>
      <c r="T1445" s="393"/>
    </row>
    <row r="1446" spans="1:21" ht="30" customHeight="1" x14ac:dyDescent="0.25">
      <c r="A1446" s="61"/>
      <c r="B1446" s="170" t="s">
        <v>1305</v>
      </c>
      <c r="C1446" s="104"/>
      <c r="D1446" s="171"/>
      <c r="E1446" s="530"/>
      <c r="F1446" s="61"/>
      <c r="G1446" s="817"/>
      <c r="H1446" s="646"/>
      <c r="I1446" s="61"/>
      <c r="J1446" s="61" t="s">
        <v>358</v>
      </c>
      <c r="K1446" s="405">
        <f>+K1443*K1444/K1445</f>
        <v>97182.164647058831</v>
      </c>
      <c r="L1446" s="61" t="s">
        <v>11</v>
      </c>
      <c r="M1446" s="1067"/>
      <c r="N1446" s="420"/>
      <c r="O1446"/>
      <c r="P1446" s="412"/>
      <c r="Q1446" s="391"/>
      <c r="T1446" s="393"/>
    </row>
    <row r="1447" spans="1:21" ht="30" customHeight="1" thickBot="1" x14ac:dyDescent="0.3">
      <c r="A1447" s="61"/>
      <c r="B1447" s="917"/>
      <c r="C1447" s="115"/>
      <c r="D1447" s="918"/>
      <c r="E1447" s="63"/>
      <c r="F1447" s="63"/>
      <c r="G1447" s="64"/>
      <c r="H1447" s="63"/>
      <c r="I1447" s="159" t="s">
        <v>652</v>
      </c>
      <c r="J1447" s="361">
        <f>VLOOKUP(B1435,'Mil Cost Premiums for RUCs'!$A$4:$R$265,18,FALSE)</f>
        <v>1.0485669999999998</v>
      </c>
      <c r="K1447" s="21">
        <f>+K1446*J1447</f>
        <v>101902.01083747252</v>
      </c>
      <c r="L1447" s="61" t="s">
        <v>11</v>
      </c>
      <c r="M1447" s="1067"/>
      <c r="N1447" s="420"/>
      <c r="O1447"/>
      <c r="P1447" s="412"/>
      <c r="Q1447" s="391"/>
      <c r="T1447" s="393"/>
    </row>
    <row r="1448" spans="1:21" ht="30" customHeight="1" thickBot="1" x14ac:dyDescent="0.3">
      <c r="A1448" s="76"/>
      <c r="B1448" s="77"/>
      <c r="C1448" s="77"/>
      <c r="D1448" s="77"/>
      <c r="E1448" s="77"/>
      <c r="F1448" s="77"/>
      <c r="G1448" s="77"/>
      <c r="H1448" s="77"/>
      <c r="I1448" s="77"/>
      <c r="J1448" s="77"/>
      <c r="K1448" s="77"/>
      <c r="L1448" s="78"/>
      <c r="M1448" s="1067"/>
      <c r="N1448" s="420"/>
      <c r="O1448"/>
      <c r="P1448" s="412"/>
      <c r="Q1448" s="391"/>
      <c r="T1448" s="393"/>
    </row>
    <row r="1449" spans="1:21" ht="30" customHeight="1" x14ac:dyDescent="0.25">
      <c r="A1449" s="207" t="s">
        <v>288</v>
      </c>
      <c r="B1449" s="208">
        <v>2111</v>
      </c>
      <c r="C1449" s="282" t="s">
        <v>1306</v>
      </c>
      <c r="D1449" s="283"/>
      <c r="E1449" s="177" t="s">
        <v>291</v>
      </c>
      <c r="F1449" s="178" t="s">
        <v>9</v>
      </c>
      <c r="G1449" s="123" t="s">
        <v>375</v>
      </c>
      <c r="H1449" s="761">
        <v>29952</v>
      </c>
      <c r="I1449" s="177" t="s">
        <v>292</v>
      </c>
      <c r="J1449" s="38" t="s">
        <v>516</v>
      </c>
      <c r="K1449" s="39"/>
      <c r="L1449" s="40"/>
      <c r="M1449" s="1067"/>
      <c r="N1449" s="420"/>
      <c r="P1449" s="412"/>
      <c r="Q1449" s="391"/>
      <c r="T1449" s="393"/>
    </row>
    <row r="1450" spans="1:21" ht="30" customHeight="1" x14ac:dyDescent="0.25">
      <c r="A1450" s="181" t="s">
        <v>517</v>
      </c>
      <c r="B1450" s="180" t="s">
        <v>295</v>
      </c>
      <c r="C1450" s="180"/>
      <c r="D1450" s="180"/>
      <c r="E1450" s="182" t="s">
        <v>518</v>
      </c>
      <c r="F1450" s="285" t="s">
        <v>519</v>
      </c>
      <c r="G1450" s="181"/>
      <c r="H1450" s="181"/>
      <c r="I1450" s="286" t="s">
        <v>737</v>
      </c>
      <c r="J1450" s="287"/>
      <c r="K1450" s="288" t="s">
        <v>521</v>
      </c>
      <c r="L1450" s="289"/>
      <c r="M1450" s="1067"/>
      <c r="P1450" s="43"/>
      <c r="Q1450" s="43"/>
      <c r="R1450" s="43"/>
      <c r="S1450" s="60"/>
      <c r="T1450" s="60"/>
    </row>
    <row r="1451" spans="1:21" ht="30" customHeight="1" x14ac:dyDescent="0.25">
      <c r="A1451" s="290" t="s">
        <v>522</v>
      </c>
      <c r="B1451" s="214" t="s">
        <v>1307</v>
      </c>
      <c r="C1451" s="214"/>
      <c r="D1451" s="214"/>
      <c r="E1451" s="291">
        <v>54000</v>
      </c>
      <c r="F1451" s="292">
        <v>294</v>
      </c>
      <c r="G1451" s="293"/>
      <c r="H1451" s="294"/>
      <c r="I1451" s="295" t="s">
        <v>524</v>
      </c>
      <c r="J1451" s="296"/>
      <c r="K1451" s="292">
        <f>+F1451</f>
        <v>294</v>
      </c>
      <c r="L1451" s="290" t="s">
        <v>9</v>
      </c>
      <c r="P1451" s="43"/>
      <c r="Q1451" s="43"/>
      <c r="R1451" s="43"/>
      <c r="S1451" s="60"/>
      <c r="T1451" s="60"/>
      <c r="U1451" s="43"/>
    </row>
    <row r="1452" spans="1:21" ht="30" customHeight="1" thickBot="1" x14ac:dyDescent="0.3">
      <c r="A1452" s="20"/>
      <c r="B1452" s="191"/>
      <c r="C1452" s="191"/>
      <c r="D1452" s="191"/>
      <c r="E1452" s="297"/>
      <c r="F1452" s="298"/>
      <c r="G1452" s="298"/>
      <c r="H1452" s="299"/>
      <c r="I1452" s="18"/>
      <c r="J1452" s="185" t="s">
        <v>358</v>
      </c>
      <c r="K1452" s="301">
        <f>+K1451</f>
        <v>294</v>
      </c>
      <c r="L1452" s="20" t="s">
        <v>9</v>
      </c>
      <c r="P1452" s="43"/>
      <c r="Q1452" s="43"/>
      <c r="R1452" s="43"/>
      <c r="S1452" s="60"/>
      <c r="T1452" s="60"/>
      <c r="U1452" s="43"/>
    </row>
    <row r="1453" spans="1:21" s="128" customFormat="1" ht="30" customHeight="1" thickBot="1" x14ac:dyDescent="0.3">
      <c r="A1453" s="76"/>
      <c r="B1453" s="77"/>
      <c r="C1453" s="77"/>
      <c r="D1453" s="77"/>
      <c r="E1453" s="77"/>
      <c r="F1453" s="77"/>
      <c r="G1453" s="77"/>
      <c r="H1453" s="77"/>
      <c r="I1453" s="77"/>
      <c r="J1453" s="77"/>
      <c r="K1453" s="77"/>
      <c r="L1453" s="78"/>
      <c r="M1453" s="556"/>
      <c r="N1453" s="556"/>
    </row>
    <row r="1454" spans="1:21" s="128" customFormat="1" ht="30" customHeight="1" x14ac:dyDescent="0.25">
      <c r="A1454" s="207" t="s">
        <v>288</v>
      </c>
      <c r="B1454" s="208">
        <v>2112</v>
      </c>
      <c r="C1454" s="209" t="s">
        <v>1308</v>
      </c>
      <c r="D1454" s="210"/>
      <c r="E1454" s="177" t="s">
        <v>291</v>
      </c>
      <c r="F1454" s="178" t="s">
        <v>9</v>
      </c>
      <c r="G1454" s="123" t="s">
        <v>375</v>
      </c>
      <c r="H1454" s="539">
        <v>11766</v>
      </c>
      <c r="I1454" s="177" t="s">
        <v>292</v>
      </c>
      <c r="J1454" s="747" t="s">
        <v>617</v>
      </c>
      <c r="K1454" s="747"/>
      <c r="L1454" s="748"/>
      <c r="M1454" s="556"/>
      <c r="N1454" s="556"/>
    </row>
    <row r="1455" spans="1:21" s="128" customFormat="1" ht="30" customHeight="1" x14ac:dyDescent="0.25">
      <c r="A1455" s="185" t="s">
        <v>529</v>
      </c>
      <c r="B1455" s="394" t="s">
        <v>560</v>
      </c>
      <c r="C1455" s="395"/>
      <c r="D1455" s="396"/>
      <c r="E1455" s="397" t="s">
        <v>519</v>
      </c>
      <c r="F1455" s="397" t="s">
        <v>561</v>
      </c>
      <c r="G1455" s="398" t="s">
        <v>562</v>
      </c>
      <c r="H1455" s="399"/>
      <c r="I1455" s="400" t="s">
        <v>530</v>
      </c>
      <c r="J1455" s="400"/>
      <c r="K1455" s="288" t="s">
        <v>521</v>
      </c>
      <c r="L1455" s="289"/>
      <c r="M1455" s="1930"/>
      <c r="N1455" s="1931"/>
    </row>
    <row r="1456" spans="1:21" s="128" customFormat="1" ht="30" customHeight="1" x14ac:dyDescent="0.25">
      <c r="A1456" s="20" t="s">
        <v>1309</v>
      </c>
      <c r="B1456" s="402" t="s">
        <v>1310</v>
      </c>
      <c r="C1456" s="403"/>
      <c r="D1456" s="404"/>
      <c r="E1456" s="405">
        <v>73.95</v>
      </c>
      <c r="F1456" s="730" t="s">
        <v>9</v>
      </c>
      <c r="G1456" s="749"/>
      <c r="H1456" s="750"/>
      <c r="I1456" s="20">
        <v>1.06</v>
      </c>
      <c r="J1456" s="751"/>
      <c r="K1456" s="405">
        <f>+E1456*I1456</f>
        <v>78.387</v>
      </c>
      <c r="L1456" s="20" t="s">
        <v>9</v>
      </c>
      <c r="M1456" s="1930"/>
      <c r="N1456" s="1931"/>
    </row>
    <row r="1457" spans="1:18" s="128" customFormat="1" ht="45" customHeight="1" x14ac:dyDescent="0.25">
      <c r="A1457" s="20" t="s">
        <v>1311</v>
      </c>
      <c r="B1457" s="402" t="s">
        <v>1312</v>
      </c>
      <c r="C1457" s="403"/>
      <c r="D1457" s="404"/>
      <c r="E1457" s="405">
        <f>172.22-3.79</f>
        <v>168.43</v>
      </c>
      <c r="F1457" s="730" t="s">
        <v>9</v>
      </c>
      <c r="G1457" s="749"/>
      <c r="H1457" s="750"/>
      <c r="I1457" s="649">
        <v>1.06</v>
      </c>
      <c r="J1457" s="751"/>
      <c r="K1457" s="405">
        <f>+E1457*I1457</f>
        <v>178.53580000000002</v>
      </c>
      <c r="L1457" s="20" t="s">
        <v>9</v>
      </c>
      <c r="M1457" s="556"/>
      <c r="N1457" s="556"/>
    </row>
    <row r="1458" spans="1:18" s="128" customFormat="1" ht="30" customHeight="1" x14ac:dyDescent="0.25">
      <c r="A1458" s="20" t="s">
        <v>1313</v>
      </c>
      <c r="B1458" s="402" t="s">
        <v>1314</v>
      </c>
      <c r="C1458" s="403"/>
      <c r="D1458" s="404"/>
      <c r="E1458" s="405">
        <v>114.21</v>
      </c>
      <c r="F1458" s="730" t="s">
        <v>9</v>
      </c>
      <c r="G1458" s="749"/>
      <c r="H1458" s="750"/>
      <c r="I1458" s="649">
        <v>1.05</v>
      </c>
      <c r="J1458" s="751"/>
      <c r="K1458" s="405">
        <f>+E1458*I1458</f>
        <v>119.9205</v>
      </c>
      <c r="L1458" s="20" t="s">
        <v>9</v>
      </c>
      <c r="M1458" s="556"/>
      <c r="N1458" s="556"/>
    </row>
    <row r="1459" spans="1:18" s="128" customFormat="1" ht="30" customHeight="1" x14ac:dyDescent="0.25">
      <c r="A1459" s="20"/>
      <c r="B1459" s="919"/>
      <c r="C1459" s="920"/>
      <c r="D1459" s="750"/>
      <c r="E1459" s="405"/>
      <c r="F1459" s="730"/>
      <c r="G1459" s="749"/>
      <c r="H1459" s="750"/>
      <c r="I1459" s="402" t="s">
        <v>1315</v>
      </c>
      <c r="J1459" s="428"/>
      <c r="K1459" s="405">
        <f>AVERAGE(K1456:K1458)</f>
        <v>125.61443333333335</v>
      </c>
      <c r="L1459" s="20" t="s">
        <v>9</v>
      </c>
      <c r="M1459" s="556"/>
      <c r="N1459" s="556"/>
    </row>
    <row r="1460" spans="1:18" s="128" customFormat="1" ht="30" customHeight="1" x14ac:dyDescent="0.25">
      <c r="A1460" s="20" t="s">
        <v>1316</v>
      </c>
      <c r="B1460" s="402" t="s">
        <v>1317</v>
      </c>
      <c r="C1460" s="347"/>
      <c r="D1460" s="348"/>
      <c r="E1460" s="405">
        <v>10600</v>
      </c>
      <c r="F1460" s="730" t="s">
        <v>11</v>
      </c>
      <c r="G1460" s="921">
        <f>1/H1454</f>
        <v>8.4990651028386878E-5</v>
      </c>
      <c r="H1460" s="750" t="s">
        <v>1318</v>
      </c>
      <c r="I1460" s="649">
        <v>1.04</v>
      </c>
      <c r="J1460" s="751"/>
      <c r="K1460" s="405">
        <f>+E1460*G1460*I1460</f>
        <v>0.93693693693693703</v>
      </c>
      <c r="L1460" s="20" t="s">
        <v>9</v>
      </c>
      <c r="M1460" s="556"/>
      <c r="N1460" s="556"/>
    </row>
    <row r="1461" spans="1:18" s="128" customFormat="1" ht="30" customHeight="1" x14ac:dyDescent="0.25">
      <c r="A1461" s="24" t="s">
        <v>760</v>
      </c>
      <c r="B1461" s="346" t="s">
        <v>1319</v>
      </c>
      <c r="C1461" s="347"/>
      <c r="D1461" s="348"/>
      <c r="E1461" s="326">
        <v>132000</v>
      </c>
      <c r="F1461" s="844" t="s">
        <v>11</v>
      </c>
      <c r="G1461" s="921">
        <f>1/H1454</f>
        <v>8.4990651028386878E-5</v>
      </c>
      <c r="H1461" s="922" t="s">
        <v>1318</v>
      </c>
      <c r="I1461" s="649">
        <v>1.02</v>
      </c>
      <c r="J1461" s="751"/>
      <c r="K1461" s="405">
        <f>+E1461*G1461*I1461</f>
        <v>11.443141254462009</v>
      </c>
      <c r="L1461" s="20" t="s">
        <v>9</v>
      </c>
      <c r="M1461" s="556"/>
      <c r="N1461" s="556"/>
    </row>
    <row r="1462" spans="1:18" s="128" customFormat="1" ht="30" customHeight="1" x14ac:dyDescent="0.25">
      <c r="A1462" s="923" t="s">
        <v>644</v>
      </c>
      <c r="B1462" s="346" t="s">
        <v>1320</v>
      </c>
      <c r="C1462" s="347"/>
      <c r="D1462" s="348"/>
      <c r="E1462" s="14">
        <f xml:space="preserve"> 0.53+((1.06+1.57)/2)</f>
        <v>1.845</v>
      </c>
      <c r="F1462" s="844" t="s">
        <v>9</v>
      </c>
      <c r="G1462" s="7"/>
      <c r="H1462" s="922"/>
      <c r="I1462" s="649">
        <v>1.06</v>
      </c>
      <c r="J1462" s="751"/>
      <c r="K1462" s="405">
        <f>+E1462*I1462</f>
        <v>1.9557</v>
      </c>
      <c r="L1462" s="20" t="s">
        <v>9</v>
      </c>
      <c r="M1462" s="670"/>
      <c r="N1462" s="924"/>
      <c r="O1462" s="925"/>
      <c r="P1462" s="926"/>
      <c r="Q1462" s="924"/>
      <c r="R1462" s="927"/>
    </row>
    <row r="1463" spans="1:18" s="128" customFormat="1" ht="30" customHeight="1" x14ac:dyDescent="0.25">
      <c r="A1463" s="20" t="s">
        <v>644</v>
      </c>
      <c r="B1463" s="402" t="s">
        <v>1321</v>
      </c>
      <c r="C1463" s="403"/>
      <c r="D1463" s="404"/>
      <c r="E1463" s="928">
        <v>4.3899999999999997</v>
      </c>
      <c r="F1463" s="20" t="s">
        <v>9</v>
      </c>
      <c r="G1463" s="752"/>
      <c r="H1463" s="750"/>
      <c r="I1463" s="20">
        <v>1.06</v>
      </c>
      <c r="J1463" s="751"/>
      <c r="K1463" s="405">
        <f>+E1463*I1463</f>
        <v>4.6533999999999995</v>
      </c>
      <c r="L1463" s="20" t="s">
        <v>9</v>
      </c>
      <c r="M1463" s="670"/>
      <c r="N1463" s="924"/>
      <c r="O1463" s="925"/>
      <c r="P1463" s="926"/>
      <c r="Q1463" s="924"/>
      <c r="R1463" s="927"/>
    </row>
    <row r="1464" spans="1:18" s="128" customFormat="1" ht="30" customHeight="1" x14ac:dyDescent="0.25">
      <c r="A1464" s="20"/>
      <c r="B1464" s="191"/>
      <c r="C1464" s="191"/>
      <c r="D1464" s="191"/>
      <c r="E1464" s="405"/>
      <c r="F1464" s="20"/>
      <c r="G1464" s="753"/>
      <c r="H1464" s="754"/>
      <c r="I1464" s="20"/>
      <c r="J1464" s="20" t="s">
        <v>646</v>
      </c>
      <c r="K1464" s="405">
        <f>SUM(K1459:K1463)</f>
        <v>144.60361152473232</v>
      </c>
      <c r="L1464" s="20" t="s">
        <v>9</v>
      </c>
      <c r="M1464" s="556"/>
      <c r="N1464" s="556"/>
    </row>
    <row r="1465" spans="1:18" s="128" customFormat="1" ht="30" customHeight="1" x14ac:dyDescent="0.25">
      <c r="A1465" s="61"/>
      <c r="B1465" s="410"/>
      <c r="C1465" s="410"/>
      <c r="D1465" s="410"/>
      <c r="E1465" s="405"/>
      <c r="F1465" s="338" t="s">
        <v>533</v>
      </c>
      <c r="G1465" s="339" t="s">
        <v>534</v>
      </c>
      <c r="H1465" s="339"/>
      <c r="I1465" s="339"/>
      <c r="J1465" s="339"/>
      <c r="K1465" s="340">
        <v>1.0900000000000001</v>
      </c>
      <c r="L1465" s="10"/>
      <c r="M1465" s="556"/>
      <c r="N1465" s="556"/>
    </row>
    <row r="1466" spans="1:18" ht="30" customHeight="1" x14ac:dyDescent="0.25">
      <c r="A1466" s="61"/>
      <c r="B1466" s="410"/>
      <c r="C1466" s="410"/>
      <c r="D1466" s="410"/>
      <c r="E1466" s="405"/>
      <c r="F1466" s="343"/>
      <c r="G1466" s="344" t="s">
        <v>535</v>
      </c>
      <c r="H1466" s="344"/>
      <c r="I1466" s="344"/>
      <c r="J1466" s="344"/>
      <c r="K1466" s="340">
        <v>1.02</v>
      </c>
      <c r="L1466" s="10"/>
      <c r="O1466"/>
    </row>
    <row r="1467" spans="1:18" s="41" customFormat="1" ht="30" customHeight="1" x14ac:dyDescent="0.25">
      <c r="A1467" s="20"/>
      <c r="B1467" s="20"/>
      <c r="C1467" s="18"/>
      <c r="D1467" s="18"/>
      <c r="E1467" s="18"/>
      <c r="F1467" s="18"/>
      <c r="G1467" s="18"/>
      <c r="H1467" s="18"/>
      <c r="I1467" s="18"/>
      <c r="J1467" s="20" t="s">
        <v>358</v>
      </c>
      <c r="K1467" s="23">
        <f>+K1464*K1465/K1466</f>
        <v>154.52738878623356</v>
      </c>
      <c r="L1467" s="20" t="s">
        <v>9</v>
      </c>
      <c r="M1467" s="341"/>
      <c r="N1467" s="342"/>
      <c r="O1467" s="42"/>
    </row>
    <row r="1468" spans="1:18" s="49" customFormat="1" ht="30" customHeight="1" x14ac:dyDescent="0.25">
      <c r="A1468" s="20"/>
      <c r="B1468" s="20"/>
      <c r="C1468" s="18"/>
      <c r="D1468" s="18"/>
      <c r="E1468" s="18"/>
      <c r="F1468" s="18"/>
      <c r="G1468" s="394" t="s">
        <v>652</v>
      </c>
      <c r="H1468" s="395"/>
      <c r="I1468" s="396"/>
      <c r="J1468" s="361">
        <f>VLOOKUP(B1454,'Mil Cost Premiums for RUCs'!$A$4:$R$265,18,FALSE)</f>
        <v>1.1932356231980656</v>
      </c>
      <c r="K1468" s="23">
        <f>+K1467*J1468</f>
        <v>184.38758505951117</v>
      </c>
      <c r="L1468" s="20" t="s">
        <v>9</v>
      </c>
      <c r="M1468" s="502"/>
      <c r="N1468" s="502"/>
      <c r="O1468" s="27"/>
    </row>
    <row r="1469" spans="1:18" ht="75" customHeight="1" x14ac:dyDescent="0.25">
      <c r="A1469" s="580" t="s">
        <v>538</v>
      </c>
      <c r="B1469" s="532"/>
      <c r="C1469" s="532"/>
      <c r="D1469" s="532"/>
      <c r="E1469" s="532"/>
      <c r="F1469" s="532"/>
      <c r="G1469" s="532"/>
      <c r="H1469" s="532"/>
      <c r="I1469" s="532"/>
      <c r="J1469" s="532"/>
      <c r="K1469" s="532"/>
      <c r="L1469" s="533"/>
      <c r="M1469" s="1932"/>
      <c r="N1469" s="213"/>
    </row>
    <row r="1470" spans="1:18" ht="30" customHeight="1" x14ac:dyDescent="0.25">
      <c r="A1470" s="866" t="s">
        <v>539</v>
      </c>
      <c r="B1470" s="867"/>
      <c r="C1470" s="868"/>
      <c r="D1470" s="563" t="s">
        <v>1322</v>
      </c>
      <c r="E1470" s="383"/>
      <c r="F1470" s="383"/>
      <c r="G1470" s="383"/>
      <c r="H1470" s="383"/>
      <c r="I1470" s="383"/>
      <c r="J1470" s="383"/>
      <c r="K1470" s="383"/>
      <c r="L1470" s="384"/>
      <c r="M1470" s="1067"/>
      <c r="N1470" s="420"/>
      <c r="O1470"/>
      <c r="P1470" s="412"/>
      <c r="Q1470" s="391"/>
      <c r="R1470" s="393"/>
    </row>
    <row r="1471" spans="1:18" ht="45" customHeight="1" x14ac:dyDescent="0.25">
      <c r="A1471" s="866" t="s">
        <v>541</v>
      </c>
      <c r="B1471" s="867"/>
      <c r="C1471" s="868"/>
      <c r="D1471" s="386" t="s">
        <v>1323</v>
      </c>
      <c r="E1471" s="849"/>
      <c r="F1471" s="849"/>
      <c r="G1471" s="849"/>
      <c r="H1471" s="849"/>
      <c r="I1471" s="849"/>
      <c r="J1471" s="849"/>
      <c r="K1471" s="849"/>
      <c r="L1471" s="850"/>
      <c r="M1471" s="1067"/>
      <c r="N1471" s="420"/>
      <c r="O1471"/>
      <c r="P1471" s="412"/>
      <c r="Q1471" s="391"/>
      <c r="R1471" s="393"/>
    </row>
    <row r="1472" spans="1:18" ht="30" customHeight="1" x14ac:dyDescent="0.25">
      <c r="A1472" s="866" t="s">
        <v>543</v>
      </c>
      <c r="B1472" s="867"/>
      <c r="C1472" s="868"/>
      <c r="D1472" s="386" t="s">
        <v>1324</v>
      </c>
      <c r="E1472" s="849"/>
      <c r="F1472" s="849"/>
      <c r="G1472" s="849"/>
      <c r="H1472" s="849"/>
      <c r="I1472" s="849"/>
      <c r="J1472" s="849"/>
      <c r="K1472" s="849"/>
      <c r="L1472" s="850"/>
      <c r="O1472"/>
      <c r="P1472" s="412"/>
      <c r="Q1472" s="391"/>
      <c r="R1472" s="393"/>
    </row>
    <row r="1473" spans="1:18" s="49" customFormat="1" ht="30" customHeight="1" x14ac:dyDescent="0.25">
      <c r="A1473" s="866" t="s">
        <v>546</v>
      </c>
      <c r="B1473" s="867"/>
      <c r="C1473" s="868"/>
      <c r="D1473" s="386" t="s">
        <v>1325</v>
      </c>
      <c r="E1473" s="849"/>
      <c r="F1473" s="849"/>
      <c r="G1473" s="849"/>
      <c r="H1473" s="849"/>
      <c r="I1473" s="849"/>
      <c r="J1473" s="849"/>
      <c r="K1473" s="849"/>
      <c r="L1473" s="850"/>
      <c r="M1473" s="502"/>
      <c r="N1473" s="502"/>
      <c r="P1473" s="412"/>
      <c r="Q1473" s="391"/>
      <c r="R1473" s="393"/>
    </row>
    <row r="1474" spans="1:18" ht="30" customHeight="1" x14ac:dyDescent="0.25">
      <c r="A1474" s="866" t="s">
        <v>548</v>
      </c>
      <c r="B1474" s="867"/>
      <c r="C1474" s="868"/>
      <c r="D1474" s="386" t="s">
        <v>1326</v>
      </c>
      <c r="E1474" s="849"/>
      <c r="F1474" s="849"/>
      <c r="G1474" s="849"/>
      <c r="H1474" s="849"/>
      <c r="I1474" s="849"/>
      <c r="J1474" s="849"/>
      <c r="K1474" s="849"/>
      <c r="L1474" s="850"/>
      <c r="M1474" s="1067"/>
      <c r="N1474" s="420"/>
      <c r="O1474"/>
      <c r="P1474" s="412"/>
      <c r="Q1474" s="391"/>
      <c r="R1474" s="393"/>
    </row>
    <row r="1475" spans="1:18" ht="30" customHeight="1" x14ac:dyDescent="0.25">
      <c r="A1475" s="866" t="s">
        <v>550</v>
      </c>
      <c r="B1475" s="867"/>
      <c r="C1475" s="868"/>
      <c r="D1475" s="386" t="s">
        <v>1327</v>
      </c>
      <c r="E1475" s="849"/>
      <c r="F1475" s="849"/>
      <c r="G1475" s="849"/>
      <c r="H1475" s="849"/>
      <c r="I1475" s="849"/>
      <c r="J1475" s="849"/>
      <c r="K1475" s="849"/>
      <c r="L1475" s="850"/>
      <c r="M1475" s="1067"/>
      <c r="N1475" s="420"/>
      <c r="O1475"/>
      <c r="P1475" s="412"/>
      <c r="Q1475" s="391"/>
      <c r="R1475" s="393"/>
    </row>
    <row r="1476" spans="1:18" ht="30" customHeight="1" x14ac:dyDescent="0.25">
      <c r="A1476" s="866" t="s">
        <v>552</v>
      </c>
      <c r="B1476" s="867"/>
      <c r="C1476" s="868"/>
      <c r="D1476" s="386" t="s">
        <v>1328</v>
      </c>
      <c r="E1476" s="849"/>
      <c r="F1476" s="849"/>
      <c r="G1476" s="849"/>
      <c r="H1476" s="849"/>
      <c r="I1476" s="849"/>
      <c r="J1476" s="849"/>
      <c r="K1476" s="849"/>
      <c r="L1476" s="850"/>
      <c r="M1476" s="1067"/>
      <c r="N1476" s="420"/>
      <c r="O1476"/>
      <c r="P1476" s="412"/>
      <c r="Q1476" s="391"/>
      <c r="R1476" s="393"/>
    </row>
    <row r="1477" spans="1:18" ht="30" customHeight="1" x14ac:dyDescent="0.25">
      <c r="A1477" s="866" t="s">
        <v>802</v>
      </c>
      <c r="B1477" s="867"/>
      <c r="C1477" s="868"/>
      <c r="D1477" s="851" t="s">
        <v>1329</v>
      </c>
      <c r="E1477" s="852"/>
      <c r="F1477" s="852"/>
      <c r="G1477" s="852"/>
      <c r="H1477" s="852"/>
      <c r="I1477" s="852"/>
      <c r="J1477" s="852"/>
      <c r="K1477" s="852"/>
      <c r="L1477" s="853"/>
      <c r="M1477" s="1067"/>
      <c r="N1477" s="420"/>
      <c r="O1477"/>
      <c r="P1477" s="412"/>
      <c r="Q1477" s="391"/>
      <c r="R1477" s="393"/>
    </row>
    <row r="1478" spans="1:18" ht="30" customHeight="1" thickBot="1" x14ac:dyDescent="0.3">
      <c r="A1478" s="563" t="s">
        <v>556</v>
      </c>
      <c r="B1478" s="383"/>
      <c r="C1478" s="384"/>
      <c r="D1478" s="386" t="s">
        <v>1330</v>
      </c>
      <c r="E1478" s="849"/>
      <c r="F1478" s="849"/>
      <c r="G1478" s="849"/>
      <c r="H1478" s="849"/>
      <c r="I1478" s="849"/>
      <c r="J1478" s="849"/>
      <c r="K1478" s="849"/>
      <c r="L1478" s="850"/>
      <c r="M1478" s="1067"/>
      <c r="N1478" s="420"/>
      <c r="O1478"/>
      <c r="P1478" s="412"/>
      <c r="Q1478" s="391"/>
      <c r="R1478" s="393"/>
    </row>
    <row r="1479" spans="1:18" ht="30" customHeight="1" thickBot="1" x14ac:dyDescent="0.3">
      <c r="A1479" s="76"/>
      <c r="B1479" s="77"/>
      <c r="C1479" s="77"/>
      <c r="D1479" s="77"/>
      <c r="E1479" s="77"/>
      <c r="F1479" s="77"/>
      <c r="G1479" s="77"/>
      <c r="H1479" s="77"/>
      <c r="I1479" s="77"/>
      <c r="J1479" s="77"/>
      <c r="K1479" s="77"/>
      <c r="L1479" s="78"/>
      <c r="M1479" s="1067"/>
      <c r="N1479" s="420"/>
      <c r="O1479"/>
      <c r="P1479" s="412"/>
      <c r="Q1479" s="391"/>
      <c r="R1479" s="393"/>
    </row>
    <row r="1480" spans="1:18" ht="30" customHeight="1" x14ac:dyDescent="0.25">
      <c r="A1480" s="207" t="s">
        <v>288</v>
      </c>
      <c r="B1480" s="208">
        <v>2113</v>
      </c>
      <c r="C1480" s="282" t="s">
        <v>1331</v>
      </c>
      <c r="D1480" s="283"/>
      <c r="E1480" s="177" t="s">
        <v>291</v>
      </c>
      <c r="F1480" s="178" t="s">
        <v>9</v>
      </c>
      <c r="G1480" s="123" t="s">
        <v>375</v>
      </c>
      <c r="H1480" s="761">
        <v>21998</v>
      </c>
      <c r="I1480" s="177" t="s">
        <v>292</v>
      </c>
      <c r="J1480" s="38" t="s">
        <v>516</v>
      </c>
      <c r="K1480" s="39"/>
      <c r="L1480" s="40"/>
      <c r="M1480" s="1935"/>
      <c r="N1480" s="1936"/>
      <c r="O1480"/>
      <c r="P1480" s="412"/>
      <c r="Q1480" s="391"/>
      <c r="R1480" s="393"/>
    </row>
    <row r="1481" spans="1:18" ht="30" customHeight="1" x14ac:dyDescent="0.25">
      <c r="A1481" s="181" t="s">
        <v>517</v>
      </c>
      <c r="B1481" s="180" t="s">
        <v>295</v>
      </c>
      <c r="C1481" s="180"/>
      <c r="D1481" s="180"/>
      <c r="E1481" s="182" t="s">
        <v>518</v>
      </c>
      <c r="F1481" s="285" t="s">
        <v>519</v>
      </c>
      <c r="G1481" s="181"/>
      <c r="H1481" s="181"/>
      <c r="I1481" s="286" t="s">
        <v>520</v>
      </c>
      <c r="J1481" s="287"/>
      <c r="K1481" s="288" t="s">
        <v>521</v>
      </c>
      <c r="L1481" s="289"/>
      <c r="M1481" s="1935"/>
      <c r="N1481" s="1936"/>
      <c r="O1481"/>
      <c r="P1481" s="412"/>
      <c r="Q1481" s="391"/>
      <c r="R1481" s="393"/>
    </row>
    <row r="1482" spans="1:18" ht="30" customHeight="1" x14ac:dyDescent="0.25">
      <c r="A1482" s="290" t="s">
        <v>522</v>
      </c>
      <c r="B1482" s="214" t="s">
        <v>1332</v>
      </c>
      <c r="C1482" s="214"/>
      <c r="D1482" s="214"/>
      <c r="E1482" s="291">
        <v>96000</v>
      </c>
      <c r="F1482" s="292">
        <v>417</v>
      </c>
      <c r="G1482" s="293"/>
      <c r="H1482" s="294"/>
      <c r="I1482" s="295" t="s">
        <v>524</v>
      </c>
      <c r="J1482" s="296"/>
      <c r="K1482" s="292">
        <f>+F1482</f>
        <v>417</v>
      </c>
      <c r="L1482" s="290" t="s">
        <v>9</v>
      </c>
      <c r="M1482" s="1067"/>
      <c r="N1482" s="420"/>
      <c r="O1482"/>
      <c r="P1482" s="412"/>
      <c r="Q1482" s="391"/>
      <c r="R1482" s="393"/>
    </row>
    <row r="1483" spans="1:18" ht="30" customHeight="1" thickBot="1" x14ac:dyDescent="0.3">
      <c r="A1483" s="20"/>
      <c r="B1483" s="191"/>
      <c r="C1483" s="191"/>
      <c r="D1483" s="191"/>
      <c r="E1483" s="297"/>
      <c r="F1483" s="298"/>
      <c r="G1483" s="298"/>
      <c r="H1483" s="299"/>
      <c r="I1483" s="18"/>
      <c r="J1483" s="185" t="s">
        <v>358</v>
      </c>
      <c r="K1483" s="301">
        <f>+K1482</f>
        <v>417</v>
      </c>
      <c r="L1483" s="20" t="s">
        <v>9</v>
      </c>
      <c r="M1483" s="670"/>
      <c r="N1483" s="671"/>
      <c r="O1483" s="43"/>
      <c r="P1483" s="672"/>
      <c r="Q1483" s="671"/>
      <c r="R1483" s="673"/>
    </row>
    <row r="1484" spans="1:18" ht="30" customHeight="1" thickBot="1" x14ac:dyDescent="0.3">
      <c r="A1484" s="76"/>
      <c r="B1484" s="77"/>
      <c r="C1484" s="77"/>
      <c r="D1484" s="77"/>
      <c r="E1484" s="77"/>
      <c r="F1484" s="77"/>
      <c r="G1484" s="77"/>
      <c r="H1484" s="77"/>
      <c r="I1484" s="77"/>
      <c r="J1484" s="77"/>
      <c r="K1484" s="77"/>
      <c r="L1484" s="78"/>
      <c r="M1484" s="670"/>
      <c r="N1484" s="671"/>
      <c r="O1484" s="43"/>
      <c r="P1484" s="672"/>
      <c r="Q1484" s="671"/>
      <c r="R1484" s="673"/>
    </row>
    <row r="1485" spans="1:18" ht="30" customHeight="1" x14ac:dyDescent="0.25">
      <c r="A1485" s="207" t="s">
        <v>288</v>
      </c>
      <c r="B1485" s="208">
        <v>2114</v>
      </c>
      <c r="C1485" s="282" t="s">
        <v>1333</v>
      </c>
      <c r="D1485" s="283"/>
      <c r="E1485" s="177" t="s">
        <v>291</v>
      </c>
      <c r="F1485" s="178" t="s">
        <v>9</v>
      </c>
      <c r="G1485" s="123" t="s">
        <v>375</v>
      </c>
      <c r="H1485" s="179">
        <v>8763</v>
      </c>
      <c r="I1485" s="177" t="s">
        <v>292</v>
      </c>
      <c r="J1485" s="38" t="s">
        <v>1334</v>
      </c>
      <c r="K1485" s="39"/>
      <c r="L1485" s="40"/>
      <c r="M1485" s="1067"/>
      <c r="N1485" s="420"/>
      <c r="O1485"/>
      <c r="P1485" s="412"/>
      <c r="Q1485" s="391"/>
      <c r="R1485" s="393"/>
    </row>
    <row r="1486" spans="1:18" ht="30" customHeight="1" x14ac:dyDescent="0.25">
      <c r="A1486" s="181" t="s">
        <v>517</v>
      </c>
      <c r="B1486" s="180" t="s">
        <v>295</v>
      </c>
      <c r="C1486" s="180"/>
      <c r="D1486" s="180"/>
      <c r="E1486" s="182" t="s">
        <v>518</v>
      </c>
      <c r="F1486" s="285" t="s">
        <v>519</v>
      </c>
      <c r="G1486" s="665" t="s">
        <v>562</v>
      </c>
      <c r="H1486" s="666"/>
      <c r="I1486" s="286" t="s">
        <v>520</v>
      </c>
      <c r="J1486" s="287"/>
      <c r="K1486" s="288" t="s">
        <v>521</v>
      </c>
      <c r="L1486" s="289"/>
      <c r="M1486" s="1067"/>
      <c r="N1486" s="420"/>
      <c r="O1486"/>
      <c r="P1486" s="412"/>
      <c r="Q1486" s="391"/>
      <c r="R1486" s="393"/>
    </row>
    <row r="1487" spans="1:18" ht="30" customHeight="1" x14ac:dyDescent="0.25">
      <c r="A1487" s="290">
        <v>21140</v>
      </c>
      <c r="B1487" s="214" t="s">
        <v>1335</v>
      </c>
      <c r="C1487" s="214"/>
      <c r="D1487" s="214"/>
      <c r="E1487" s="291">
        <v>26000</v>
      </c>
      <c r="F1487" s="303">
        <v>229</v>
      </c>
      <c r="G1487" s="290"/>
      <c r="H1487" s="929"/>
      <c r="I1487" s="295">
        <f>+'MILCON Inflation Table'!F10</f>
        <v>1.1691837124832727</v>
      </c>
      <c r="J1487" s="296"/>
      <c r="K1487" s="304">
        <f>+F1487*I1487</f>
        <v>267.74307015866947</v>
      </c>
      <c r="L1487" s="290" t="s">
        <v>9</v>
      </c>
      <c r="M1487" s="1067"/>
      <c r="N1487" s="420"/>
      <c r="O1487"/>
      <c r="P1487" s="412"/>
      <c r="Q1487" s="391"/>
      <c r="R1487" s="393"/>
    </row>
    <row r="1488" spans="1:18" ht="30" customHeight="1" thickBot="1" x14ac:dyDescent="0.3">
      <c r="A1488" s="20"/>
      <c r="B1488" s="191"/>
      <c r="C1488" s="191"/>
      <c r="D1488" s="191"/>
      <c r="E1488" s="297"/>
      <c r="F1488" s="298"/>
      <c r="G1488" s="298"/>
      <c r="H1488" s="299"/>
      <c r="I1488" s="18"/>
      <c r="J1488" s="185" t="s">
        <v>358</v>
      </c>
      <c r="K1488" s="305">
        <f>+K1487</f>
        <v>267.74307015866947</v>
      </c>
      <c r="L1488" s="20" t="s">
        <v>9</v>
      </c>
      <c r="M1488" s="1067"/>
      <c r="N1488" s="420"/>
      <c r="O1488"/>
      <c r="P1488" s="412"/>
      <c r="Q1488" s="391"/>
      <c r="R1488" s="393"/>
    </row>
    <row r="1489" spans="1:21" ht="30" customHeight="1" thickBot="1" x14ac:dyDescent="0.3">
      <c r="A1489" s="76"/>
      <c r="B1489" s="77"/>
      <c r="C1489" s="77"/>
      <c r="D1489" s="77"/>
      <c r="E1489" s="77"/>
      <c r="F1489" s="77"/>
      <c r="G1489" s="77"/>
      <c r="H1489" s="77"/>
      <c r="I1489" s="77"/>
      <c r="J1489" s="77"/>
      <c r="K1489" s="77"/>
      <c r="L1489" s="78"/>
      <c r="M1489" s="1067"/>
      <c r="N1489" s="420"/>
      <c r="O1489"/>
      <c r="P1489" s="412"/>
      <c r="Q1489" s="391"/>
      <c r="R1489" s="393"/>
    </row>
    <row r="1490" spans="1:21" ht="30" customHeight="1" x14ac:dyDescent="0.25">
      <c r="A1490" s="207" t="s">
        <v>288</v>
      </c>
      <c r="B1490" s="208">
        <v>2115</v>
      </c>
      <c r="C1490" s="282" t="s">
        <v>1336</v>
      </c>
      <c r="D1490" s="283"/>
      <c r="E1490" s="177" t="s">
        <v>291</v>
      </c>
      <c r="F1490" s="178" t="s">
        <v>9</v>
      </c>
      <c r="G1490" s="123" t="s">
        <v>375</v>
      </c>
      <c r="H1490" s="769">
        <v>102084</v>
      </c>
      <c r="I1490" s="177" t="s">
        <v>292</v>
      </c>
      <c r="J1490" s="38" t="s">
        <v>516</v>
      </c>
      <c r="K1490" s="39"/>
      <c r="L1490" s="40"/>
      <c r="M1490" s="1067"/>
      <c r="N1490" s="420"/>
      <c r="O1490"/>
      <c r="P1490" s="412"/>
      <c r="Q1490" s="391"/>
      <c r="R1490" s="393"/>
    </row>
    <row r="1491" spans="1:21" ht="30" customHeight="1" x14ac:dyDescent="0.25">
      <c r="A1491" s="181" t="s">
        <v>517</v>
      </c>
      <c r="B1491" s="180" t="s">
        <v>295</v>
      </c>
      <c r="C1491" s="180"/>
      <c r="D1491" s="180"/>
      <c r="E1491" s="182" t="s">
        <v>518</v>
      </c>
      <c r="F1491" s="285" t="s">
        <v>519</v>
      </c>
      <c r="G1491" s="181"/>
      <c r="H1491" s="181"/>
      <c r="I1491" s="286" t="s">
        <v>520</v>
      </c>
      <c r="J1491" s="287"/>
      <c r="K1491" s="288" t="s">
        <v>521</v>
      </c>
      <c r="L1491" s="289"/>
      <c r="M1491" s="1067"/>
      <c r="N1491" s="420"/>
      <c r="O1491"/>
      <c r="P1491" s="412"/>
      <c r="Q1491" s="391"/>
      <c r="R1491" s="393"/>
    </row>
    <row r="1492" spans="1:21" ht="30" customHeight="1" x14ac:dyDescent="0.25">
      <c r="A1492" s="290" t="s">
        <v>522</v>
      </c>
      <c r="B1492" s="214" t="s">
        <v>1337</v>
      </c>
      <c r="C1492" s="214"/>
      <c r="D1492" s="214"/>
      <c r="E1492" s="291">
        <v>60000</v>
      </c>
      <c r="F1492" s="292">
        <v>294</v>
      </c>
      <c r="G1492" s="293"/>
      <c r="H1492" s="294"/>
      <c r="I1492" s="295" t="s">
        <v>524</v>
      </c>
      <c r="J1492" s="296"/>
      <c r="K1492" s="292">
        <f>+F1492</f>
        <v>294</v>
      </c>
      <c r="L1492" s="290" t="s">
        <v>9</v>
      </c>
      <c r="M1492" s="1067"/>
      <c r="N1492" s="420"/>
      <c r="O1492"/>
      <c r="P1492" s="412"/>
      <c r="Q1492" s="391"/>
      <c r="R1492" s="393"/>
    </row>
    <row r="1493" spans="1:21" ht="30" customHeight="1" thickBot="1" x14ac:dyDescent="0.3">
      <c r="A1493" s="20"/>
      <c r="B1493" s="191"/>
      <c r="C1493" s="191"/>
      <c r="D1493" s="191"/>
      <c r="E1493" s="297"/>
      <c r="F1493" s="298"/>
      <c r="G1493" s="298"/>
      <c r="H1493" s="299"/>
      <c r="I1493" s="18"/>
      <c r="J1493" s="185" t="s">
        <v>358</v>
      </c>
      <c r="K1493" s="301">
        <f>+K1492</f>
        <v>294</v>
      </c>
      <c r="L1493" s="20" t="s">
        <v>9</v>
      </c>
      <c r="M1493" s="1067"/>
      <c r="N1493" s="420"/>
      <c r="O1493"/>
      <c r="P1493" s="412"/>
      <c r="Q1493" s="391"/>
      <c r="R1493" s="393"/>
    </row>
    <row r="1494" spans="1:21" ht="30" customHeight="1" thickBot="1" x14ac:dyDescent="0.3">
      <c r="A1494" s="76"/>
      <c r="B1494" s="77"/>
      <c r="C1494" s="77"/>
      <c r="D1494" s="77"/>
      <c r="E1494" s="77"/>
      <c r="F1494" s="77"/>
      <c r="G1494" s="77"/>
      <c r="H1494" s="77"/>
      <c r="I1494" s="77"/>
      <c r="J1494" s="77"/>
      <c r="K1494" s="77"/>
      <c r="L1494" s="78"/>
      <c r="M1494" s="1067"/>
      <c r="N1494" s="420"/>
      <c r="O1494"/>
      <c r="P1494" s="412"/>
      <c r="Q1494" s="391"/>
      <c r="R1494" s="393"/>
    </row>
    <row r="1495" spans="1:21" ht="30" customHeight="1" x14ac:dyDescent="0.25">
      <c r="A1495" s="207" t="s">
        <v>288</v>
      </c>
      <c r="B1495" s="208">
        <v>2116</v>
      </c>
      <c r="C1495" s="282" t="s">
        <v>1338</v>
      </c>
      <c r="D1495" s="283"/>
      <c r="E1495" s="177" t="s">
        <v>291</v>
      </c>
      <c r="F1495" s="178" t="s">
        <v>9</v>
      </c>
      <c r="G1495" s="123" t="s">
        <v>375</v>
      </c>
      <c r="H1495" s="302">
        <v>21981</v>
      </c>
      <c r="I1495" s="177" t="s">
        <v>292</v>
      </c>
      <c r="J1495" s="38" t="s">
        <v>1339</v>
      </c>
      <c r="K1495" s="39"/>
      <c r="L1495" s="40"/>
      <c r="M1495" s="1905"/>
      <c r="N1495" s="420"/>
      <c r="O1495"/>
      <c r="P1495" s="412"/>
      <c r="Q1495" s="391"/>
      <c r="R1495" s="393"/>
    </row>
    <row r="1496" spans="1:21" ht="30" customHeight="1" x14ac:dyDescent="0.25">
      <c r="A1496" s="181" t="s">
        <v>517</v>
      </c>
      <c r="B1496" s="180" t="s">
        <v>295</v>
      </c>
      <c r="C1496" s="180"/>
      <c r="D1496" s="180"/>
      <c r="E1496" s="285" t="s">
        <v>519</v>
      </c>
      <c r="F1496" s="181" t="s">
        <v>518</v>
      </c>
      <c r="G1496" s="665" t="s">
        <v>562</v>
      </c>
      <c r="H1496" s="666"/>
      <c r="I1496" s="286" t="s">
        <v>520</v>
      </c>
      <c r="J1496" s="287"/>
      <c r="K1496" s="288" t="s">
        <v>521</v>
      </c>
      <c r="L1496" s="289"/>
      <c r="P1496" s="43"/>
      <c r="Q1496" s="43"/>
      <c r="R1496" s="43"/>
      <c r="S1496" s="60"/>
      <c r="T1496" s="60"/>
      <c r="U1496" s="43"/>
    </row>
    <row r="1497" spans="1:21" ht="30" customHeight="1" x14ac:dyDescent="0.25">
      <c r="A1497" s="20">
        <v>21120</v>
      </c>
      <c r="B1497" s="503" t="s">
        <v>1340</v>
      </c>
      <c r="C1497" s="504"/>
      <c r="D1497" s="505"/>
      <c r="E1497" s="405">
        <v>267.67</v>
      </c>
      <c r="F1497" s="729">
        <v>32000</v>
      </c>
      <c r="G1497" s="680"/>
      <c r="H1497" s="680"/>
      <c r="I1497" s="295">
        <f>+'MILCON Inflation Table'!F13</f>
        <v>1.0397823869432166</v>
      </c>
      <c r="J1497" s="296"/>
      <c r="K1497" s="304">
        <f>+E1497*I1497</f>
        <v>278.31855151309077</v>
      </c>
      <c r="L1497" s="290" t="s">
        <v>9</v>
      </c>
      <c r="P1497" s="43"/>
      <c r="Q1497" s="43"/>
      <c r="R1497" s="43"/>
      <c r="S1497" s="60"/>
      <c r="T1497" s="60"/>
      <c r="U1497" s="43"/>
    </row>
    <row r="1498" spans="1:21" s="41" customFormat="1" ht="30" customHeight="1" thickBot="1" x14ac:dyDescent="0.3">
      <c r="A1498" s="20"/>
      <c r="B1498" s="250"/>
      <c r="C1498" s="465"/>
      <c r="D1498" s="465"/>
      <c r="E1498" s="465"/>
      <c r="F1498" s="763"/>
      <c r="G1498" s="465"/>
      <c r="H1498" s="764"/>
      <c r="I1498" s="18"/>
      <c r="J1498" s="185" t="s">
        <v>358</v>
      </c>
      <c r="K1498" s="305">
        <f>AVERAGE(K1497:K1497)</f>
        <v>278.31855151309077</v>
      </c>
      <c r="L1498" s="290" t="s">
        <v>9</v>
      </c>
      <c r="M1498" s="341"/>
      <c r="N1498" s="342"/>
      <c r="O1498" s="42"/>
    </row>
    <row r="1499" spans="1:21" s="49" customFormat="1" ht="30" customHeight="1" thickBot="1" x14ac:dyDescent="0.3">
      <c r="A1499" s="76"/>
      <c r="B1499" s="77"/>
      <c r="C1499" s="77"/>
      <c r="D1499" s="77"/>
      <c r="E1499" s="77"/>
      <c r="F1499" s="77"/>
      <c r="G1499" s="77"/>
      <c r="H1499" s="77"/>
      <c r="I1499" s="77"/>
      <c r="J1499" s="77"/>
      <c r="K1499" s="77"/>
      <c r="L1499" s="78"/>
      <c r="M1499" s="502"/>
      <c r="N1499" s="502"/>
      <c r="O1499" s="27"/>
    </row>
    <row r="1500" spans="1:21" ht="30" customHeight="1" x14ac:dyDescent="0.25">
      <c r="A1500" s="207" t="s">
        <v>288</v>
      </c>
      <c r="B1500" s="208">
        <v>2118</v>
      </c>
      <c r="C1500" s="282" t="s">
        <v>1341</v>
      </c>
      <c r="D1500" s="283"/>
      <c r="E1500" s="177" t="s">
        <v>291</v>
      </c>
      <c r="F1500" s="178" t="s">
        <v>11</v>
      </c>
      <c r="G1500" s="123" t="s">
        <v>375</v>
      </c>
      <c r="H1500" s="930" t="s">
        <v>1342</v>
      </c>
      <c r="I1500" s="177" t="s">
        <v>292</v>
      </c>
      <c r="J1500" s="38" t="s">
        <v>1343</v>
      </c>
      <c r="K1500" s="39"/>
      <c r="L1500" s="40"/>
      <c r="M1500" s="1932"/>
      <c r="N1500" s="213"/>
    </row>
    <row r="1501" spans="1:21" ht="30" customHeight="1" x14ac:dyDescent="0.25">
      <c r="A1501" s="181" t="s">
        <v>517</v>
      </c>
      <c r="B1501" s="180" t="s">
        <v>295</v>
      </c>
      <c r="C1501" s="180"/>
      <c r="D1501" s="180"/>
      <c r="E1501" s="285" t="s">
        <v>519</v>
      </c>
      <c r="F1501" s="181" t="s">
        <v>518</v>
      </c>
      <c r="G1501" s="665" t="s">
        <v>562</v>
      </c>
      <c r="H1501" s="666"/>
      <c r="I1501" s="286" t="s">
        <v>520</v>
      </c>
      <c r="J1501" s="287"/>
      <c r="K1501" s="288" t="s">
        <v>521</v>
      </c>
      <c r="L1501" s="289"/>
      <c r="N1501" s="342"/>
      <c r="O1501" s="42"/>
      <c r="P1501" s="41"/>
      <c r="Q1501" s="41"/>
      <c r="R1501" s="41"/>
      <c r="S1501" s="41"/>
      <c r="T1501" s="41"/>
      <c r="U1501" s="43"/>
    </row>
    <row r="1502" spans="1:21" ht="30" customHeight="1" x14ac:dyDescent="0.25">
      <c r="A1502" s="20">
        <v>21140</v>
      </c>
      <c r="B1502" s="503" t="s">
        <v>1335</v>
      </c>
      <c r="C1502" s="504"/>
      <c r="D1502" s="505"/>
      <c r="E1502" s="405">
        <v>229</v>
      </c>
      <c r="F1502" s="729">
        <v>26000</v>
      </c>
      <c r="G1502" s="782">
        <v>11088</v>
      </c>
      <c r="H1502" s="680" t="s">
        <v>565</v>
      </c>
      <c r="I1502" s="295">
        <f>+'MILCON Inflation Table'!F10</f>
        <v>1.1691837124832727</v>
      </c>
      <c r="J1502" s="296"/>
      <c r="K1502" s="304">
        <f>+E1502*G1502*I1502</f>
        <v>2968735.161919327</v>
      </c>
      <c r="L1502" s="290" t="s">
        <v>11</v>
      </c>
      <c r="U1502" s="43"/>
    </row>
    <row r="1503" spans="1:21" s="41" customFormat="1" ht="30" customHeight="1" thickBot="1" x14ac:dyDescent="0.3">
      <c r="A1503" s="20"/>
      <c r="B1503" s="931" t="s">
        <v>1344</v>
      </c>
      <c r="C1503" s="932"/>
      <c r="D1503" s="932"/>
      <c r="E1503" s="465"/>
      <c r="F1503" s="763"/>
      <c r="G1503" s="465"/>
      <c r="H1503" s="764"/>
      <c r="I1503" s="18"/>
      <c r="J1503" s="185" t="s">
        <v>358</v>
      </c>
      <c r="K1503" s="305">
        <f>AVERAGE(K1502:K1502)</f>
        <v>2968735.161919327</v>
      </c>
      <c r="L1503" s="290" t="s">
        <v>11</v>
      </c>
      <c r="M1503" s="341"/>
      <c r="N1503" s="25"/>
      <c r="O1503" s="27"/>
      <c r="P1503"/>
      <c r="Q1503"/>
      <c r="R1503"/>
      <c r="S1503"/>
      <c r="T1503"/>
    </row>
    <row r="1504" spans="1:21" s="49" customFormat="1" ht="30" customHeight="1" thickBot="1" x14ac:dyDescent="0.3">
      <c r="A1504" s="76"/>
      <c r="B1504" s="77"/>
      <c r="C1504" s="77"/>
      <c r="D1504" s="77"/>
      <c r="E1504" s="77"/>
      <c r="F1504" s="77"/>
      <c r="G1504" s="77"/>
      <c r="H1504" s="77"/>
      <c r="I1504" s="77"/>
      <c r="J1504" s="77"/>
      <c r="K1504" s="77"/>
      <c r="L1504" s="78"/>
      <c r="M1504" s="502"/>
      <c r="N1504" s="502"/>
      <c r="O1504" s="27"/>
      <c r="P1504" s="50"/>
      <c r="Q1504" s="50"/>
      <c r="R1504" s="50"/>
      <c r="S1504" s="212"/>
      <c r="T1504" s="212"/>
    </row>
    <row r="1505" spans="1:21" ht="30" customHeight="1" x14ac:dyDescent="0.25">
      <c r="A1505" s="417" t="s">
        <v>288</v>
      </c>
      <c r="B1505" s="418">
        <v>2121</v>
      </c>
      <c r="C1505" s="933" t="s">
        <v>1345</v>
      </c>
      <c r="D1505" s="933"/>
      <c r="E1505" s="540" t="s">
        <v>291</v>
      </c>
      <c r="F1505" s="541" t="s">
        <v>9</v>
      </c>
      <c r="G1505" s="934" t="s">
        <v>375</v>
      </c>
      <c r="H1505" s="935">
        <v>11553</v>
      </c>
      <c r="I1505" s="936" t="s">
        <v>292</v>
      </c>
      <c r="J1505" s="937" t="s">
        <v>1346</v>
      </c>
      <c r="K1505" s="937"/>
      <c r="L1505" s="1969"/>
      <c r="M1505" s="43"/>
      <c r="P1505" s="43"/>
      <c r="Q1505" s="43"/>
      <c r="R1505" s="43"/>
      <c r="S1505" s="60"/>
      <c r="T1505" s="60"/>
    </row>
    <row r="1506" spans="1:21" ht="30" customHeight="1" x14ac:dyDescent="0.25">
      <c r="A1506" s="421" t="s">
        <v>529</v>
      </c>
      <c r="B1506" s="543" t="s">
        <v>560</v>
      </c>
      <c r="C1506" s="544"/>
      <c r="D1506" s="545"/>
      <c r="E1506" s="546" t="s">
        <v>519</v>
      </c>
      <c r="F1506" s="546" t="s">
        <v>561</v>
      </c>
      <c r="G1506" s="288" t="s">
        <v>562</v>
      </c>
      <c r="H1506" s="289"/>
      <c r="I1506" s="938" t="s">
        <v>1347</v>
      </c>
      <c r="J1506" s="424" t="s">
        <v>530</v>
      </c>
      <c r="K1506" s="288" t="s">
        <v>521</v>
      </c>
      <c r="L1506" s="289"/>
      <c r="P1506" s="43"/>
      <c r="Q1506" s="43"/>
      <c r="R1506" s="43"/>
      <c r="S1506" s="60"/>
      <c r="T1506" s="60"/>
      <c r="U1506" s="43"/>
    </row>
    <row r="1507" spans="1:21" ht="30" customHeight="1" x14ac:dyDescent="0.25">
      <c r="A1507" s="10" t="s">
        <v>758</v>
      </c>
      <c r="B1507" s="346" t="s">
        <v>1348</v>
      </c>
      <c r="C1507" s="347"/>
      <c r="D1507" s="348"/>
      <c r="E1507" s="326">
        <f>149.46-2.29</f>
        <v>147.17000000000002</v>
      </c>
      <c r="F1507" s="10" t="s">
        <v>9</v>
      </c>
      <c r="G1507" s="939"/>
      <c r="H1507" s="698"/>
      <c r="I1507" s="940">
        <f>+E1507</f>
        <v>147.17000000000002</v>
      </c>
      <c r="J1507" s="10">
        <v>1.03</v>
      </c>
      <c r="K1507" s="700">
        <f t="shared" ref="K1507:K1517" si="29">+I1507*J1507</f>
        <v>151.58510000000001</v>
      </c>
      <c r="L1507" s="10" t="s">
        <v>9</v>
      </c>
      <c r="P1507" s="43"/>
      <c r="Q1507" s="43"/>
      <c r="R1507" s="43"/>
      <c r="S1507" s="60"/>
      <c r="T1507" s="60"/>
      <c r="U1507" s="43"/>
    </row>
    <row r="1508" spans="1:21" s="41" customFormat="1" ht="30" customHeight="1" x14ac:dyDescent="0.25">
      <c r="A1508" s="10" t="s">
        <v>644</v>
      </c>
      <c r="B1508" s="346" t="s">
        <v>1349</v>
      </c>
      <c r="C1508" s="347"/>
      <c r="D1508" s="348"/>
      <c r="E1508" s="364">
        <v>5.75</v>
      </c>
      <c r="F1508" s="10" t="s">
        <v>9</v>
      </c>
      <c r="G1508" s="941"/>
      <c r="H1508" s="922"/>
      <c r="I1508" s="942">
        <f>+E1508</f>
        <v>5.75</v>
      </c>
      <c r="J1508" s="10">
        <v>1.03</v>
      </c>
      <c r="K1508" s="700">
        <f t="shared" si="29"/>
        <v>5.9225000000000003</v>
      </c>
      <c r="L1508" s="10" t="s">
        <v>9</v>
      </c>
      <c r="M1508" s="341"/>
      <c r="N1508" s="342"/>
      <c r="O1508" s="42"/>
    </row>
    <row r="1509" spans="1:21" s="49" customFormat="1" ht="30" customHeight="1" x14ac:dyDescent="0.25">
      <c r="A1509" s="10" t="s">
        <v>644</v>
      </c>
      <c r="B1509" s="346" t="s">
        <v>1350</v>
      </c>
      <c r="C1509" s="347"/>
      <c r="D1509" s="348"/>
      <c r="E1509" s="14">
        <f>0.15*E1508</f>
        <v>0.86249999999999993</v>
      </c>
      <c r="F1509" s="844" t="s">
        <v>9</v>
      </c>
      <c r="G1509" s="941"/>
      <c r="H1509" s="922"/>
      <c r="I1509" s="942">
        <f>+E1509</f>
        <v>0.86249999999999993</v>
      </c>
      <c r="J1509" s="10">
        <v>1.03</v>
      </c>
      <c r="K1509" s="700">
        <f t="shared" si="29"/>
        <v>0.88837499999999991</v>
      </c>
      <c r="L1509" s="10" t="s">
        <v>9</v>
      </c>
      <c r="M1509" s="502"/>
      <c r="N1509" s="502"/>
      <c r="O1509" s="27"/>
    </row>
    <row r="1510" spans="1:21" ht="30" customHeight="1" x14ac:dyDescent="0.25">
      <c r="A1510" s="10" t="s">
        <v>644</v>
      </c>
      <c r="B1510" s="346" t="s">
        <v>1351</v>
      </c>
      <c r="C1510" s="347"/>
      <c r="D1510" s="348"/>
      <c r="E1510" s="14">
        <f xml:space="preserve"> 0.53+((1.06+1.57)/2)</f>
        <v>1.845</v>
      </c>
      <c r="F1510" s="844" t="s">
        <v>9</v>
      </c>
      <c r="G1510" s="941"/>
      <c r="H1510" s="922"/>
      <c r="I1510" s="942">
        <f>+E1510</f>
        <v>1.845</v>
      </c>
      <c r="J1510" s="10">
        <v>1.03</v>
      </c>
      <c r="K1510" s="700">
        <f t="shared" si="29"/>
        <v>1.90035</v>
      </c>
      <c r="L1510" s="10" t="s">
        <v>9</v>
      </c>
      <c r="M1510" s="1932"/>
      <c r="N1510" s="213"/>
    </row>
    <row r="1511" spans="1:21" ht="30" customHeight="1" x14ac:dyDescent="0.25">
      <c r="A1511" s="10" t="s">
        <v>760</v>
      </c>
      <c r="B1511" s="346" t="s">
        <v>1352</v>
      </c>
      <c r="C1511" s="347"/>
      <c r="D1511" s="348"/>
      <c r="E1511" s="326">
        <v>166000</v>
      </c>
      <c r="F1511" s="844" t="s">
        <v>11</v>
      </c>
      <c r="G1511" s="941"/>
      <c r="H1511" s="922" t="s">
        <v>1353</v>
      </c>
      <c r="I1511" s="942">
        <f>+E1511/H1505</f>
        <v>14.368562278196139</v>
      </c>
      <c r="J1511" s="10">
        <v>1.02</v>
      </c>
      <c r="K1511" s="700">
        <f t="shared" si="29"/>
        <v>14.655933523760062</v>
      </c>
      <c r="L1511" s="10" t="s">
        <v>9</v>
      </c>
      <c r="N1511" s="342"/>
      <c r="O1511" s="42"/>
      <c r="P1511" s="41"/>
      <c r="Q1511" s="41"/>
      <c r="R1511" s="41"/>
      <c r="S1511" s="41"/>
      <c r="T1511" s="41"/>
      <c r="U1511" s="43"/>
    </row>
    <row r="1512" spans="1:21" ht="30" customHeight="1" x14ac:dyDescent="0.25">
      <c r="A1512" s="10" t="s">
        <v>664</v>
      </c>
      <c r="B1512" s="462" t="s">
        <v>1354</v>
      </c>
      <c r="C1512" s="464"/>
      <c r="D1512" s="464"/>
      <c r="E1512" s="14">
        <f>+(19.15+29.75)/2</f>
        <v>24.45</v>
      </c>
      <c r="F1512" s="10" t="s">
        <v>1355</v>
      </c>
      <c r="G1512" s="352">
        <v>162</v>
      </c>
      <c r="H1512" s="14" t="s">
        <v>1356</v>
      </c>
      <c r="I1512" s="942">
        <f>+E1512*G1512/H1505</f>
        <v>0.34284601402233189</v>
      </c>
      <c r="J1512" s="10">
        <v>1.02</v>
      </c>
      <c r="K1512" s="700">
        <f t="shared" si="29"/>
        <v>0.34970293430277855</v>
      </c>
      <c r="L1512" s="10" t="s">
        <v>9</v>
      </c>
      <c r="U1512" s="43"/>
    </row>
    <row r="1513" spans="1:21" s="41" customFormat="1" ht="30" customHeight="1" x14ac:dyDescent="0.25">
      <c r="A1513" s="10" t="s">
        <v>664</v>
      </c>
      <c r="B1513" s="943" t="s">
        <v>1357</v>
      </c>
      <c r="C1513" s="944"/>
      <c r="D1513" s="945"/>
      <c r="E1513" s="946">
        <f>+(1610+2280)/2</f>
        <v>1945</v>
      </c>
      <c r="F1513" s="10" t="s">
        <v>11</v>
      </c>
      <c r="G1513" s="352">
        <v>2</v>
      </c>
      <c r="H1513" s="14" t="s">
        <v>1358</v>
      </c>
      <c r="I1513" s="942">
        <f>+E1513*G1513/H1505</f>
        <v>0.33670907989266857</v>
      </c>
      <c r="J1513" s="10">
        <v>1.02</v>
      </c>
      <c r="K1513" s="700">
        <f t="shared" si="29"/>
        <v>0.34344326149052196</v>
      </c>
      <c r="L1513" s="10" t="s">
        <v>9</v>
      </c>
      <c r="M1513" s="341"/>
      <c r="N1513" s="25"/>
      <c r="O1513" s="27"/>
      <c r="P1513"/>
      <c r="Q1513"/>
      <c r="R1513"/>
      <c r="S1513"/>
      <c r="T1513"/>
    </row>
    <row r="1514" spans="1:21" s="49" customFormat="1" ht="30" customHeight="1" x14ac:dyDescent="0.25">
      <c r="A1514" s="10" t="s">
        <v>668</v>
      </c>
      <c r="B1514" s="346" t="s">
        <v>1359</v>
      </c>
      <c r="C1514" s="347"/>
      <c r="D1514" s="348"/>
      <c r="E1514" s="326">
        <f>+(31.5+75)/2</f>
        <v>53.25</v>
      </c>
      <c r="F1514" s="844" t="s">
        <v>7</v>
      </c>
      <c r="G1514" s="941">
        <v>20</v>
      </c>
      <c r="H1514" s="922" t="s">
        <v>1356</v>
      </c>
      <c r="I1514" s="942">
        <f>+E1514*G1514/H1505</f>
        <v>9.2183848351077638E-2</v>
      </c>
      <c r="J1514" s="10">
        <v>1.04</v>
      </c>
      <c r="K1514" s="700">
        <f t="shared" si="29"/>
        <v>9.5871202285120749E-2</v>
      </c>
      <c r="L1514" s="10" t="s">
        <v>9</v>
      </c>
      <c r="M1514" s="502"/>
      <c r="N1514" s="502"/>
      <c r="O1514" s="27"/>
      <c r="P1514" s="50"/>
      <c r="Q1514" s="50"/>
      <c r="R1514" s="50"/>
      <c r="S1514" s="212"/>
      <c r="T1514" s="212"/>
    </row>
    <row r="1515" spans="1:21" ht="30" customHeight="1" x14ac:dyDescent="0.25">
      <c r="A1515" s="10" t="s">
        <v>668</v>
      </c>
      <c r="B1515" s="346" t="s">
        <v>671</v>
      </c>
      <c r="C1515" s="347"/>
      <c r="D1515" s="348"/>
      <c r="E1515" s="326">
        <f>+(5900+11300)/2</f>
        <v>8600</v>
      </c>
      <c r="F1515" s="844" t="s">
        <v>11</v>
      </c>
      <c r="G1515" s="941">
        <v>2</v>
      </c>
      <c r="H1515" s="922" t="s">
        <v>1353</v>
      </c>
      <c r="I1515" s="942">
        <f>+E1515*G1515/H1505</f>
        <v>1.4887907902709252</v>
      </c>
      <c r="J1515" s="10">
        <v>1.04</v>
      </c>
      <c r="K1515" s="700">
        <f t="shared" si="29"/>
        <v>1.5483424218817623</v>
      </c>
      <c r="L1515" s="10" t="s">
        <v>9</v>
      </c>
      <c r="M1515" s="43"/>
      <c r="P1515" s="43"/>
      <c r="Q1515" s="43"/>
      <c r="R1515" s="43"/>
      <c r="S1515" s="60"/>
      <c r="T1515" s="60"/>
    </row>
    <row r="1516" spans="1:21" ht="30" customHeight="1" x14ac:dyDescent="0.25">
      <c r="A1516" s="10" t="s">
        <v>668</v>
      </c>
      <c r="B1516" s="346" t="s">
        <v>1360</v>
      </c>
      <c r="C1516" s="347"/>
      <c r="D1516" s="348"/>
      <c r="E1516" s="364">
        <f>+(605+925)/2</f>
        <v>765</v>
      </c>
      <c r="F1516" s="844" t="s">
        <v>11</v>
      </c>
      <c r="G1516" s="941">
        <v>2</v>
      </c>
      <c r="H1516" s="922" t="s">
        <v>1353</v>
      </c>
      <c r="I1516" s="942">
        <f>+E1516*G1516/H1505</f>
        <v>0.13243313425084394</v>
      </c>
      <c r="J1516" s="10">
        <v>1.04</v>
      </c>
      <c r="K1516" s="700">
        <f t="shared" si="29"/>
        <v>0.13773045962087771</v>
      </c>
      <c r="L1516" s="10" t="s">
        <v>9</v>
      </c>
      <c r="N1516" s="342"/>
      <c r="O1516" s="42"/>
      <c r="P1516" s="41"/>
      <c r="Q1516" s="41"/>
      <c r="R1516" s="41"/>
      <c r="S1516" s="41"/>
      <c r="T1516" s="41"/>
      <c r="U1516" s="43"/>
    </row>
    <row r="1517" spans="1:21" ht="30" customHeight="1" x14ac:dyDescent="0.25">
      <c r="A1517" s="10" t="s">
        <v>668</v>
      </c>
      <c r="B1517" s="346" t="s">
        <v>673</v>
      </c>
      <c r="C1517" s="347"/>
      <c r="D1517" s="348"/>
      <c r="E1517" s="326">
        <f>+(1060+3175)/2</f>
        <v>2117.5</v>
      </c>
      <c r="F1517" s="844" t="s">
        <v>11</v>
      </c>
      <c r="G1517" s="941">
        <v>2</v>
      </c>
      <c r="H1517" s="922" t="s">
        <v>1353</v>
      </c>
      <c r="I1517" s="942">
        <f>+E1517*G1517/H1505</f>
        <v>0.36657145330217261</v>
      </c>
      <c r="J1517" s="10">
        <v>1.04</v>
      </c>
      <c r="K1517" s="700">
        <f t="shared" si="29"/>
        <v>0.38123431143425951</v>
      </c>
      <c r="L1517" s="10" t="s">
        <v>9</v>
      </c>
      <c r="U1517" s="43"/>
    </row>
    <row r="1518" spans="1:21" s="41" customFormat="1" ht="30" customHeight="1" x14ac:dyDescent="0.25">
      <c r="A1518" s="10"/>
      <c r="B1518" s="701"/>
      <c r="C1518" s="701"/>
      <c r="D1518" s="701"/>
      <c r="E1518" s="326"/>
      <c r="F1518" s="10"/>
      <c r="G1518" s="845"/>
      <c r="H1518" s="846"/>
      <c r="I1518" s="846"/>
      <c r="J1518" s="10" t="s">
        <v>646</v>
      </c>
      <c r="K1518" s="326">
        <f>SUM(K1507:K1517)</f>
        <v>177.80858311477542</v>
      </c>
      <c r="L1518" s="10" t="s">
        <v>9</v>
      </c>
      <c r="M1518" s="341"/>
      <c r="N1518" s="25"/>
      <c r="O1518" s="27"/>
      <c r="P1518"/>
      <c r="Q1518"/>
      <c r="R1518"/>
      <c r="S1518"/>
      <c r="T1518"/>
    </row>
    <row r="1519" spans="1:21" s="49" customFormat="1" ht="30" customHeight="1" x14ac:dyDescent="0.25">
      <c r="A1519" s="20"/>
      <c r="B1519" s="410"/>
      <c r="C1519" s="410"/>
      <c r="D1519" s="410"/>
      <c r="E1519" s="410"/>
      <c r="F1519" s="1857" t="s">
        <v>533</v>
      </c>
      <c r="G1519" s="339" t="s">
        <v>534</v>
      </c>
      <c r="H1519" s="339"/>
      <c r="I1519" s="339"/>
      <c r="J1519" s="339"/>
      <c r="K1519" s="340">
        <v>1.08</v>
      </c>
      <c r="L1519" s="10"/>
      <c r="M1519" s="502"/>
      <c r="N1519" s="502"/>
      <c r="O1519" s="27"/>
      <c r="P1519" s="50"/>
      <c r="Q1519" s="50"/>
      <c r="R1519" s="50"/>
      <c r="S1519" s="212"/>
      <c r="T1519" s="212"/>
    </row>
    <row r="1520" spans="1:21" ht="30" customHeight="1" x14ac:dyDescent="0.25">
      <c r="A1520" s="20"/>
      <c r="B1520" s="410"/>
      <c r="C1520" s="410"/>
      <c r="D1520" s="410"/>
      <c r="E1520" s="410"/>
      <c r="F1520" s="1857"/>
      <c r="G1520" s="344" t="s">
        <v>535</v>
      </c>
      <c r="H1520" s="344"/>
      <c r="I1520" s="344"/>
      <c r="J1520" s="344"/>
      <c r="K1520" s="340">
        <v>1.02</v>
      </c>
      <c r="L1520" s="10"/>
      <c r="M1520" s="43"/>
      <c r="P1520" s="43"/>
      <c r="Q1520" s="43"/>
      <c r="R1520" s="43"/>
      <c r="S1520" s="60"/>
      <c r="T1520" s="60"/>
    </row>
    <row r="1521" spans="1:18" ht="30" customHeight="1" x14ac:dyDescent="0.25">
      <c r="A1521" s="10"/>
      <c r="B1521" s="10"/>
      <c r="C1521" s="13"/>
      <c r="D1521" s="13"/>
      <c r="E1521" s="13"/>
      <c r="F1521" s="13"/>
      <c r="G1521" s="13"/>
      <c r="H1521" s="13"/>
      <c r="I1521" s="13"/>
      <c r="J1521" s="10" t="s">
        <v>358</v>
      </c>
      <c r="K1521" s="14">
        <f>+K1518*K1519/K1520</f>
        <v>188.26791153329162</v>
      </c>
      <c r="L1521" s="10" t="s">
        <v>9</v>
      </c>
      <c r="M1521" s="1274"/>
      <c r="N1521" s="671"/>
      <c r="O1521"/>
      <c r="P1521" s="412"/>
      <c r="Q1521" s="391"/>
      <c r="R1521" s="393"/>
    </row>
    <row r="1522" spans="1:18" ht="30" customHeight="1" x14ac:dyDescent="0.25">
      <c r="A1522" s="10"/>
      <c r="B1522" s="10"/>
      <c r="C1522" s="13"/>
      <c r="D1522" s="13"/>
      <c r="E1522" s="13"/>
      <c r="F1522" s="573" t="s">
        <v>652</v>
      </c>
      <c r="G1522" s="13"/>
      <c r="H1522" s="13"/>
      <c r="I1522" s="13"/>
      <c r="J1522" s="361">
        <f>VLOOKUP(B1505,'Mil Cost Premiums for RUCs'!$A$4:$R$265,18,FALSE)</f>
        <v>1.1932356231980656</v>
      </c>
      <c r="K1522" s="14">
        <f>+K1521*J1522</f>
        <v>224.64797874662551</v>
      </c>
      <c r="L1522" s="10" t="s">
        <v>9</v>
      </c>
      <c r="M1522" s="1906"/>
      <c r="N1522" s="671"/>
      <c r="O1522"/>
      <c r="P1522" s="412"/>
      <c r="Q1522" s="391"/>
      <c r="R1522" s="393"/>
    </row>
    <row r="1523" spans="1:18" ht="75" customHeight="1" x14ac:dyDescent="0.25">
      <c r="A1523" s="576" t="s">
        <v>538</v>
      </c>
      <c r="B1523" s="576"/>
      <c r="C1523" s="576"/>
      <c r="D1523" s="576"/>
      <c r="E1523" s="576"/>
      <c r="F1523" s="576"/>
      <c r="G1523" s="576"/>
      <c r="H1523" s="576"/>
      <c r="I1523" s="576"/>
      <c r="J1523" s="576"/>
      <c r="K1523" s="576"/>
      <c r="L1523" s="576"/>
      <c r="M1523" s="43"/>
      <c r="N1523" s="420"/>
      <c r="O1523"/>
      <c r="P1523" s="412"/>
      <c r="Q1523" s="391"/>
      <c r="R1523" s="393"/>
    </row>
    <row r="1524" spans="1:18" s="49" customFormat="1" ht="30" customHeight="1" x14ac:dyDescent="0.25">
      <c r="A1524" s="866" t="s">
        <v>539</v>
      </c>
      <c r="B1524" s="867"/>
      <c r="C1524" s="868"/>
      <c r="D1524" s="580" t="s">
        <v>1361</v>
      </c>
      <c r="E1524" s="532"/>
      <c r="F1524" s="532"/>
      <c r="G1524" s="532"/>
      <c r="H1524" s="532"/>
      <c r="I1524" s="532"/>
      <c r="J1524" s="532"/>
      <c r="K1524" s="532"/>
      <c r="L1524" s="533"/>
      <c r="M1524" s="1907"/>
      <c r="N1524" s="502"/>
      <c r="O1524" s="412"/>
      <c r="P1524" s="391"/>
      <c r="Q1524" s="393"/>
    </row>
    <row r="1525" spans="1:18" ht="30" customHeight="1" x14ac:dyDescent="0.25">
      <c r="A1525" s="866" t="s">
        <v>541</v>
      </c>
      <c r="B1525" s="867"/>
      <c r="C1525" s="868"/>
      <c r="D1525" s="580" t="s">
        <v>1362</v>
      </c>
      <c r="E1525" s="532"/>
      <c r="F1525" s="532"/>
      <c r="G1525" s="532"/>
      <c r="H1525" s="532"/>
      <c r="I1525" s="532"/>
      <c r="J1525" s="532"/>
      <c r="K1525" s="532"/>
      <c r="L1525" s="533"/>
      <c r="M1525" s="1907"/>
      <c r="O1525" s="412"/>
      <c r="P1525" s="391"/>
      <c r="Q1525" s="393"/>
    </row>
    <row r="1526" spans="1:18" ht="30" customHeight="1" x14ac:dyDescent="0.25">
      <c r="A1526" s="866" t="s">
        <v>543</v>
      </c>
      <c r="B1526" s="867"/>
      <c r="C1526" s="868"/>
      <c r="D1526" s="577" t="s">
        <v>1363</v>
      </c>
      <c r="E1526" s="578"/>
      <c r="F1526" s="578"/>
      <c r="G1526" s="578"/>
      <c r="H1526" s="578"/>
      <c r="I1526" s="578"/>
      <c r="J1526" s="578"/>
      <c r="K1526" s="578"/>
      <c r="L1526" s="579"/>
      <c r="M1526" s="1932"/>
      <c r="N1526" s="213"/>
      <c r="O1526" s="412"/>
      <c r="P1526" s="391"/>
      <c r="Q1526" s="393"/>
    </row>
    <row r="1527" spans="1:18" ht="30" customHeight="1" x14ac:dyDescent="0.25">
      <c r="A1527" s="866" t="s">
        <v>546</v>
      </c>
      <c r="B1527" s="867"/>
      <c r="C1527" s="868"/>
      <c r="D1527" s="580" t="s">
        <v>1364</v>
      </c>
      <c r="E1527" s="532"/>
      <c r="F1527" s="532"/>
      <c r="G1527" s="532"/>
      <c r="H1527" s="532"/>
      <c r="I1527" s="532"/>
      <c r="J1527" s="532"/>
      <c r="K1527" s="532"/>
      <c r="L1527" s="533"/>
      <c r="M1527" s="1907"/>
      <c r="O1527" s="412"/>
      <c r="P1527" s="391"/>
      <c r="Q1527" s="393"/>
    </row>
    <row r="1528" spans="1:18" ht="90" customHeight="1" x14ac:dyDescent="0.25">
      <c r="A1528" s="866" t="s">
        <v>548</v>
      </c>
      <c r="B1528" s="867"/>
      <c r="C1528" s="868"/>
      <c r="D1528" s="580" t="s">
        <v>1365</v>
      </c>
      <c r="E1528" s="532"/>
      <c r="F1528" s="532"/>
      <c r="G1528" s="532"/>
      <c r="H1528" s="532"/>
      <c r="I1528" s="532"/>
      <c r="J1528" s="532"/>
      <c r="K1528" s="532"/>
      <c r="L1528" s="533"/>
      <c r="M1528" s="1907"/>
      <c r="O1528" s="412"/>
      <c r="P1528" s="391"/>
      <c r="Q1528" s="393"/>
    </row>
    <row r="1529" spans="1:18" ht="30" customHeight="1" x14ac:dyDescent="0.25">
      <c r="A1529" s="866" t="s">
        <v>550</v>
      </c>
      <c r="B1529" s="867"/>
      <c r="C1529" s="868"/>
      <c r="D1529" s="580" t="s">
        <v>1366</v>
      </c>
      <c r="E1529" s="532"/>
      <c r="F1529" s="532"/>
      <c r="G1529" s="532"/>
      <c r="H1529" s="532"/>
      <c r="I1529" s="532"/>
      <c r="J1529" s="532"/>
      <c r="K1529" s="532"/>
      <c r="L1529" s="533"/>
      <c r="M1529" s="1907"/>
      <c r="O1529" s="412"/>
      <c r="P1529" s="391"/>
      <c r="Q1529" s="393"/>
    </row>
    <row r="1530" spans="1:18" ht="30" customHeight="1" x14ac:dyDescent="0.25">
      <c r="A1530" s="866" t="s">
        <v>552</v>
      </c>
      <c r="B1530" s="867"/>
      <c r="C1530" s="868"/>
      <c r="D1530" s="580" t="s">
        <v>1252</v>
      </c>
      <c r="E1530" s="532"/>
      <c r="F1530" s="532"/>
      <c r="G1530" s="532"/>
      <c r="H1530" s="532"/>
      <c r="I1530" s="532"/>
      <c r="J1530" s="532"/>
      <c r="K1530" s="532"/>
      <c r="L1530" s="533"/>
      <c r="M1530" s="1907"/>
      <c r="O1530" s="412"/>
      <c r="P1530" s="391"/>
      <c r="Q1530" s="393"/>
    </row>
    <row r="1531" spans="1:18" ht="75" customHeight="1" x14ac:dyDescent="0.25">
      <c r="A1531" s="866" t="s">
        <v>802</v>
      </c>
      <c r="B1531" s="867"/>
      <c r="C1531" s="868"/>
      <c r="D1531" s="851" t="s">
        <v>1329</v>
      </c>
      <c r="E1531" s="852"/>
      <c r="F1531" s="852"/>
      <c r="G1531" s="852"/>
      <c r="H1531" s="852"/>
      <c r="I1531" s="852"/>
      <c r="J1531" s="852"/>
      <c r="K1531" s="852"/>
      <c r="L1531" s="853"/>
      <c r="M1531" s="1907"/>
      <c r="O1531" s="412"/>
      <c r="P1531" s="391"/>
      <c r="Q1531" s="393"/>
    </row>
    <row r="1532" spans="1:18" ht="63" customHeight="1" thickBot="1" x14ac:dyDescent="0.3">
      <c r="A1532" s="947" t="s">
        <v>556</v>
      </c>
      <c r="B1532" s="948"/>
      <c r="C1532" s="949"/>
      <c r="D1532" s="950" t="s">
        <v>1367</v>
      </c>
      <c r="E1532" s="951"/>
      <c r="F1532" s="951"/>
      <c r="G1532" s="951"/>
      <c r="H1532" s="951"/>
      <c r="I1532" s="951"/>
      <c r="J1532" s="951"/>
      <c r="K1532" s="951"/>
      <c r="L1532" s="952"/>
      <c r="M1532" s="1907"/>
      <c r="O1532" s="412"/>
      <c r="P1532" s="391"/>
      <c r="Q1532" s="393"/>
    </row>
    <row r="1533" spans="1:18" ht="30" customHeight="1" thickBot="1" x14ac:dyDescent="0.3">
      <c r="A1533" s="76"/>
      <c r="B1533" s="77"/>
      <c r="C1533" s="77"/>
      <c r="D1533" s="77"/>
      <c r="E1533" s="77"/>
      <c r="F1533" s="77"/>
      <c r="G1533" s="77"/>
      <c r="H1533" s="77"/>
      <c r="I1533" s="77"/>
      <c r="J1533" s="77"/>
      <c r="K1533" s="77"/>
      <c r="L1533" s="78"/>
      <c r="M1533" s="1907"/>
      <c r="O1533" s="412"/>
      <c r="P1533" s="391"/>
      <c r="Q1533" s="393"/>
    </row>
    <row r="1534" spans="1:18" ht="30" customHeight="1" x14ac:dyDescent="0.25">
      <c r="A1534" s="417" t="s">
        <v>288</v>
      </c>
      <c r="B1534" s="418">
        <v>2123</v>
      </c>
      <c r="C1534" s="953" t="s">
        <v>1368</v>
      </c>
      <c r="D1534" s="953"/>
      <c r="E1534" s="540" t="s">
        <v>291</v>
      </c>
      <c r="F1534" s="541" t="s">
        <v>9</v>
      </c>
      <c r="G1534" s="123" t="s">
        <v>375</v>
      </c>
      <c r="H1534" s="954">
        <v>11323</v>
      </c>
      <c r="I1534" s="540" t="s">
        <v>292</v>
      </c>
      <c r="J1534" s="747" t="s">
        <v>883</v>
      </c>
      <c r="K1534" s="747"/>
      <c r="L1534" s="747"/>
      <c r="M1534" s="1907"/>
      <c r="O1534" s="412"/>
      <c r="P1534" s="391"/>
      <c r="Q1534" s="393"/>
    </row>
    <row r="1535" spans="1:18" ht="30" customHeight="1" x14ac:dyDescent="0.25">
      <c r="A1535" s="421" t="s">
        <v>529</v>
      </c>
      <c r="B1535" s="543" t="s">
        <v>560</v>
      </c>
      <c r="C1535" s="544"/>
      <c r="D1535" s="545"/>
      <c r="E1535" s="546" t="s">
        <v>519</v>
      </c>
      <c r="F1535" s="546" t="s">
        <v>561</v>
      </c>
      <c r="G1535" s="288" t="s">
        <v>562</v>
      </c>
      <c r="H1535" s="289"/>
      <c r="I1535" s="938" t="s">
        <v>1347</v>
      </c>
      <c r="J1535" s="424" t="s">
        <v>530</v>
      </c>
      <c r="K1535" s="288" t="s">
        <v>521</v>
      </c>
      <c r="L1535" s="423"/>
      <c r="M1535" s="1907"/>
      <c r="O1535" s="412"/>
      <c r="P1535" s="391"/>
      <c r="Q1535" s="393"/>
    </row>
    <row r="1536" spans="1:18" ht="45" customHeight="1" x14ac:dyDescent="0.25">
      <c r="A1536" s="10" t="s">
        <v>758</v>
      </c>
      <c r="B1536" s="346" t="s">
        <v>1369</v>
      </c>
      <c r="C1536" s="347"/>
      <c r="D1536" s="348"/>
      <c r="E1536" s="326">
        <f>149.46-2.29</f>
        <v>147.17000000000002</v>
      </c>
      <c r="F1536" s="10" t="s">
        <v>9</v>
      </c>
      <c r="G1536" s="939"/>
      <c r="H1536" s="698"/>
      <c r="I1536" s="940"/>
      <c r="J1536" s="10">
        <v>1.03</v>
      </c>
      <c r="K1536" s="700">
        <f>+E1536*J1536</f>
        <v>151.58510000000001</v>
      </c>
      <c r="L1536" s="697" t="s">
        <v>9</v>
      </c>
      <c r="M1536" s="1907"/>
      <c r="O1536" s="412"/>
      <c r="P1536" s="391"/>
      <c r="Q1536" s="393"/>
    </row>
    <row r="1537" spans="1:18" ht="30" customHeight="1" x14ac:dyDescent="0.25">
      <c r="A1537" s="10" t="s">
        <v>644</v>
      </c>
      <c r="B1537" s="346" t="s">
        <v>651</v>
      </c>
      <c r="C1537" s="347"/>
      <c r="D1537" s="348"/>
      <c r="E1537" s="364">
        <v>4.01</v>
      </c>
      <c r="F1537" s="10" t="s">
        <v>9</v>
      </c>
      <c r="G1537" s="941"/>
      <c r="H1537" s="922"/>
      <c r="I1537" s="942"/>
      <c r="J1537" s="10">
        <v>1.03</v>
      </c>
      <c r="K1537" s="700">
        <f>+E1537*J1537</f>
        <v>4.1303000000000001</v>
      </c>
      <c r="L1537" s="697" t="s">
        <v>9</v>
      </c>
      <c r="M1537" s="955"/>
      <c r="N1537" s="671"/>
      <c r="O1537" s="43"/>
      <c r="P1537" s="672"/>
      <c r="Q1537" s="671"/>
      <c r="R1537" s="673"/>
    </row>
    <row r="1538" spans="1:18" ht="30" customHeight="1" x14ac:dyDescent="0.25">
      <c r="A1538" s="10" t="s">
        <v>644</v>
      </c>
      <c r="B1538" s="346" t="s">
        <v>1350</v>
      </c>
      <c r="C1538" s="347"/>
      <c r="D1538" s="348"/>
      <c r="E1538" s="14">
        <f>0.15*E1537</f>
        <v>0.60149999999999992</v>
      </c>
      <c r="F1538" s="844" t="s">
        <v>9</v>
      </c>
      <c r="G1538" s="941"/>
      <c r="H1538" s="922"/>
      <c r="I1538" s="942">
        <f>+E1538</f>
        <v>0.60149999999999992</v>
      </c>
      <c r="J1538" s="10">
        <v>1.03</v>
      </c>
      <c r="K1538" s="700">
        <f>+I1538*J1538</f>
        <v>0.6195449999999999</v>
      </c>
      <c r="L1538" s="844" t="s">
        <v>9</v>
      </c>
      <c r="M1538" s="955"/>
      <c r="N1538" s="671"/>
      <c r="O1538" s="43"/>
      <c r="P1538" s="672"/>
      <c r="Q1538" s="671"/>
      <c r="R1538" s="673"/>
    </row>
    <row r="1539" spans="1:18" ht="30" customHeight="1" x14ac:dyDescent="0.25">
      <c r="A1539" s="10" t="s">
        <v>644</v>
      </c>
      <c r="B1539" s="346" t="s">
        <v>1351</v>
      </c>
      <c r="C1539" s="347"/>
      <c r="D1539" s="348"/>
      <c r="E1539" s="14">
        <f xml:space="preserve"> 0.53+((1.06+1.57)/2)</f>
        <v>1.845</v>
      </c>
      <c r="F1539" s="844" t="s">
        <v>9</v>
      </c>
      <c r="G1539" s="941"/>
      <c r="H1539" s="922"/>
      <c r="I1539" s="942">
        <f>+E1539</f>
        <v>1.845</v>
      </c>
      <c r="J1539" s="10">
        <v>1.03</v>
      </c>
      <c r="K1539" s="700">
        <f>+I1539*J1539</f>
        <v>1.90035</v>
      </c>
      <c r="L1539" s="844" t="s">
        <v>9</v>
      </c>
      <c r="M1539" s="1907"/>
      <c r="O1539" s="412"/>
      <c r="P1539" s="391"/>
      <c r="Q1539" s="393"/>
    </row>
    <row r="1540" spans="1:18" ht="30" customHeight="1" x14ac:dyDescent="0.25">
      <c r="A1540" s="10" t="s">
        <v>760</v>
      </c>
      <c r="B1540" s="346" t="s">
        <v>1352</v>
      </c>
      <c r="C1540" s="347"/>
      <c r="D1540" s="348"/>
      <c r="E1540" s="326">
        <v>166000</v>
      </c>
      <c r="F1540" s="844" t="s">
        <v>11</v>
      </c>
      <c r="G1540" s="941"/>
      <c r="H1540" s="922" t="s">
        <v>1353</v>
      </c>
      <c r="I1540" s="942">
        <f>+E1540/H1534</f>
        <v>14.660425682239689</v>
      </c>
      <c r="J1540" s="10">
        <v>1.02</v>
      </c>
      <c r="K1540" s="326">
        <f>+I1540*J1540</f>
        <v>14.953634195884483</v>
      </c>
      <c r="L1540" s="10" t="s">
        <v>9</v>
      </c>
      <c r="M1540" s="671"/>
      <c r="O1540" s="412"/>
      <c r="P1540" s="391"/>
      <c r="Q1540" s="393"/>
    </row>
    <row r="1541" spans="1:18" ht="30" customHeight="1" x14ac:dyDescent="0.25">
      <c r="A1541" s="10" t="s">
        <v>664</v>
      </c>
      <c r="B1541" s="462" t="s">
        <v>1354</v>
      </c>
      <c r="C1541" s="464"/>
      <c r="D1541" s="464"/>
      <c r="E1541" s="14">
        <f>+(19.15+29.75)/2</f>
        <v>24.45</v>
      </c>
      <c r="F1541" s="844" t="s">
        <v>1370</v>
      </c>
      <c r="G1541" s="941">
        <f>2*81</f>
        <v>162</v>
      </c>
      <c r="H1541" s="922" t="s">
        <v>9</v>
      </c>
      <c r="I1541" s="942">
        <f>+E1541*G1541/H1534</f>
        <v>0.34981012099266978</v>
      </c>
      <c r="J1541" s="10">
        <v>1.02</v>
      </c>
      <c r="K1541" s="326">
        <f t="shared" ref="K1541:K1546" si="30">+I1541*J1541</f>
        <v>0.35680632341252316</v>
      </c>
      <c r="L1541" s="10" t="s">
        <v>9</v>
      </c>
      <c r="M1541" s="1865"/>
      <c r="N1541" s="420"/>
      <c r="O1541"/>
      <c r="P1541" s="412"/>
      <c r="Q1541" s="391"/>
      <c r="R1541" s="393"/>
    </row>
    <row r="1542" spans="1:18" ht="30" customHeight="1" x14ac:dyDescent="0.25">
      <c r="A1542" s="10" t="s">
        <v>664</v>
      </c>
      <c r="B1542" s="943" t="s">
        <v>1357</v>
      </c>
      <c r="C1542" s="944"/>
      <c r="D1542" s="945"/>
      <c r="E1542" s="946">
        <f>+(1610+2280)/2</f>
        <v>1945</v>
      </c>
      <c r="F1542" s="844" t="s">
        <v>11</v>
      </c>
      <c r="G1542" s="941">
        <v>2</v>
      </c>
      <c r="H1542" s="922" t="s">
        <v>11</v>
      </c>
      <c r="I1542" s="942">
        <f>+E1542*G1542/H1534</f>
        <v>0.34354852954164089</v>
      </c>
      <c r="J1542" s="10">
        <v>1.02</v>
      </c>
      <c r="K1542" s="326">
        <f t="shared" si="30"/>
        <v>0.35041950013247369</v>
      </c>
      <c r="L1542" s="10" t="s">
        <v>9</v>
      </c>
      <c r="M1542" s="1865"/>
      <c r="N1542" s="420"/>
      <c r="O1542"/>
      <c r="P1542" s="412"/>
      <c r="Q1542" s="391"/>
      <c r="R1542" s="393"/>
    </row>
    <row r="1543" spans="1:18" ht="30" customHeight="1" x14ac:dyDescent="0.25">
      <c r="A1543" s="10" t="s">
        <v>668</v>
      </c>
      <c r="B1543" s="346" t="s">
        <v>1371</v>
      </c>
      <c r="C1543" s="347"/>
      <c r="D1543" s="348"/>
      <c r="E1543" s="326">
        <f>+(31.5+75)/2</f>
        <v>53.25</v>
      </c>
      <c r="F1543" s="844" t="s">
        <v>7</v>
      </c>
      <c r="G1543" s="941">
        <f>2*10</f>
        <v>20</v>
      </c>
      <c r="H1543" s="922" t="s">
        <v>1372</v>
      </c>
      <c r="I1543" s="942">
        <f>+E1543*G1543/H1534</f>
        <v>9.4056345491477525E-2</v>
      </c>
      <c r="J1543" s="10">
        <v>1.04</v>
      </c>
      <c r="K1543" s="326">
        <f t="shared" si="30"/>
        <v>9.7818599311136623E-2</v>
      </c>
      <c r="L1543" s="10" t="s">
        <v>9</v>
      </c>
      <c r="M1543" s="1865"/>
      <c r="N1543" s="420"/>
      <c r="O1543"/>
      <c r="P1543" s="412"/>
      <c r="Q1543" s="391"/>
      <c r="R1543" s="393"/>
    </row>
    <row r="1544" spans="1:18" ht="30" customHeight="1" x14ac:dyDescent="0.25">
      <c r="A1544" s="10" t="s">
        <v>668</v>
      </c>
      <c r="B1544" s="346" t="s">
        <v>1373</v>
      </c>
      <c r="C1544" s="347"/>
      <c r="D1544" s="348"/>
      <c r="E1544" s="326">
        <f>+(5900+11300)/2</f>
        <v>8600</v>
      </c>
      <c r="F1544" s="844" t="s">
        <v>11</v>
      </c>
      <c r="G1544" s="941">
        <v>2</v>
      </c>
      <c r="H1544" s="922" t="s">
        <v>1353</v>
      </c>
      <c r="I1544" s="942">
        <f>+E1544*G1544/H1534</f>
        <v>1.5190320586417028</v>
      </c>
      <c r="J1544" s="10">
        <v>1.04</v>
      </c>
      <c r="K1544" s="326">
        <f t="shared" si="30"/>
        <v>1.579793340987371</v>
      </c>
      <c r="L1544" s="10" t="s">
        <v>9</v>
      </c>
      <c r="M1544" s="956"/>
      <c r="N1544" s="420"/>
      <c r="O1544"/>
      <c r="P1544" s="412"/>
      <c r="Q1544" s="391"/>
      <c r="R1544" s="393"/>
    </row>
    <row r="1545" spans="1:18" ht="30" customHeight="1" x14ac:dyDescent="0.25">
      <c r="A1545" s="10" t="s">
        <v>668</v>
      </c>
      <c r="B1545" s="346" t="s">
        <v>1374</v>
      </c>
      <c r="C1545" s="347"/>
      <c r="D1545" s="348"/>
      <c r="E1545" s="364">
        <f>+(605+925)/2</f>
        <v>765</v>
      </c>
      <c r="F1545" s="844" t="s">
        <v>11</v>
      </c>
      <c r="G1545" s="941">
        <v>2</v>
      </c>
      <c r="H1545" s="922" t="s">
        <v>1353</v>
      </c>
      <c r="I1545" s="942">
        <f>+E1545*G1545/H1534</f>
        <v>0.13512320056522123</v>
      </c>
      <c r="J1545" s="10">
        <v>1.04</v>
      </c>
      <c r="K1545" s="326">
        <f t="shared" si="30"/>
        <v>0.14052812858783009</v>
      </c>
      <c r="L1545" s="10" t="s">
        <v>9</v>
      </c>
      <c r="M1545" s="1865"/>
      <c r="N1545" s="420"/>
      <c r="O1545"/>
      <c r="P1545" s="412"/>
      <c r="Q1545" s="391"/>
      <c r="R1545" s="393"/>
    </row>
    <row r="1546" spans="1:18" ht="30" customHeight="1" x14ac:dyDescent="0.25">
      <c r="A1546" s="10" t="s">
        <v>668</v>
      </c>
      <c r="B1546" s="346" t="s">
        <v>1375</v>
      </c>
      <c r="C1546" s="347"/>
      <c r="D1546" s="348"/>
      <c r="E1546" s="326">
        <f>+(1060+3175)/2</f>
        <v>2117.5</v>
      </c>
      <c r="F1546" s="844" t="s">
        <v>11</v>
      </c>
      <c r="G1546" s="941">
        <v>2</v>
      </c>
      <c r="H1546" s="922" t="s">
        <v>1353</v>
      </c>
      <c r="I1546" s="942">
        <f>+E1546*G1546/H1534</f>
        <v>0.37401748653183786</v>
      </c>
      <c r="J1546" s="10">
        <v>1.04</v>
      </c>
      <c r="K1546" s="326">
        <f t="shared" si="30"/>
        <v>0.3889781859931114</v>
      </c>
      <c r="L1546" s="10" t="s">
        <v>9</v>
      </c>
      <c r="M1546" s="1865"/>
      <c r="N1546" s="420"/>
      <c r="O1546"/>
      <c r="P1546" s="412"/>
      <c r="Q1546" s="391"/>
      <c r="R1546" s="393"/>
    </row>
    <row r="1547" spans="1:18" ht="30" customHeight="1" x14ac:dyDescent="0.25">
      <c r="A1547" s="10"/>
      <c r="B1547" s="701"/>
      <c r="C1547" s="701"/>
      <c r="D1547" s="701"/>
      <c r="E1547" s="326"/>
      <c r="F1547" s="845"/>
      <c r="G1547" s="846"/>
      <c r="H1547" s="846"/>
      <c r="I1547" s="10"/>
      <c r="J1547" s="10" t="s">
        <v>646</v>
      </c>
      <c r="K1547" s="326">
        <f>SUM(K1536:K1546)</f>
        <v>176.10327327430892</v>
      </c>
      <c r="L1547" s="10" t="s">
        <v>9</v>
      </c>
      <c r="M1547" s="1865"/>
      <c r="N1547" s="420"/>
      <c r="O1547"/>
      <c r="P1547" s="412"/>
      <c r="Q1547" s="391"/>
      <c r="R1547" s="393"/>
    </row>
    <row r="1548" spans="1:18" ht="30" customHeight="1" x14ac:dyDescent="0.25">
      <c r="A1548" s="20"/>
      <c r="B1548" s="410"/>
      <c r="C1548" s="410"/>
      <c r="D1548" s="410"/>
      <c r="E1548" s="410"/>
      <c r="F1548" s="338" t="s">
        <v>533</v>
      </c>
      <c r="G1548" s="339" t="s">
        <v>534</v>
      </c>
      <c r="H1548" s="339"/>
      <c r="I1548" s="339"/>
      <c r="J1548" s="339"/>
      <c r="K1548" s="340">
        <v>1.08</v>
      </c>
      <c r="L1548" s="10"/>
      <c r="M1548" s="1865"/>
      <c r="N1548" s="420"/>
      <c r="O1548"/>
      <c r="P1548" s="412"/>
      <c r="Q1548" s="391"/>
      <c r="R1548" s="393"/>
    </row>
    <row r="1549" spans="1:18" ht="30" customHeight="1" x14ac:dyDescent="0.25">
      <c r="A1549" s="20"/>
      <c r="B1549" s="410"/>
      <c r="C1549" s="410"/>
      <c r="D1549" s="410"/>
      <c r="E1549" s="410"/>
      <c r="F1549" s="343"/>
      <c r="G1549" s="344" t="s">
        <v>535</v>
      </c>
      <c r="H1549" s="344"/>
      <c r="I1549" s="344"/>
      <c r="J1549" s="344"/>
      <c r="K1549" s="340">
        <v>1.02</v>
      </c>
      <c r="L1549" s="10"/>
      <c r="M1549" s="1908"/>
      <c r="N1549" s="420"/>
      <c r="O1549"/>
      <c r="P1549" s="412"/>
      <c r="Q1549" s="391"/>
      <c r="R1549" s="393"/>
    </row>
    <row r="1550" spans="1:18" ht="30" customHeight="1" x14ac:dyDescent="0.25">
      <c r="A1550" s="10"/>
      <c r="B1550" s="10"/>
      <c r="C1550" s="13"/>
      <c r="D1550" s="13"/>
      <c r="E1550" s="13"/>
      <c r="F1550" s="13"/>
      <c r="G1550" s="13"/>
      <c r="H1550" s="13"/>
      <c r="I1550" s="13"/>
      <c r="J1550" s="10" t="s">
        <v>358</v>
      </c>
      <c r="K1550" s="14">
        <f>+K1547*K1548/K1549</f>
        <v>186.46228934926827</v>
      </c>
      <c r="L1550" s="10" t="s">
        <v>9</v>
      </c>
      <c r="M1550" s="1865"/>
      <c r="N1550" s="420"/>
      <c r="O1550"/>
      <c r="P1550" s="412"/>
      <c r="Q1550" s="391"/>
      <c r="R1550" s="393"/>
    </row>
    <row r="1551" spans="1:18" ht="30" customHeight="1" x14ac:dyDescent="0.25">
      <c r="A1551" s="10"/>
      <c r="B1551" s="10"/>
      <c r="C1551" s="13"/>
      <c r="D1551" s="13"/>
      <c r="E1551" s="13"/>
      <c r="F1551" s="957" t="s">
        <v>652</v>
      </c>
      <c r="G1551" s="958"/>
      <c r="H1551" s="958"/>
      <c r="I1551" s="959"/>
      <c r="J1551" s="361">
        <f>VLOOKUP(B1534,'Mil Cost Premiums for RUCs'!$A$4:$R$265,18,FALSE)</f>
        <v>1.1932356231980656</v>
      </c>
      <c r="K1551" s="14">
        <f>+K1550*J1551</f>
        <v>222.49344603461216</v>
      </c>
      <c r="L1551" s="10" t="s">
        <v>9</v>
      </c>
      <c r="M1551" s="1906"/>
      <c r="N1551" s="671"/>
      <c r="O1551"/>
      <c r="P1551" s="412"/>
      <c r="Q1551" s="391"/>
      <c r="R1551" s="393"/>
    </row>
    <row r="1552" spans="1:18" ht="75" customHeight="1" x14ac:dyDescent="0.25">
      <c r="A1552" s="580" t="s">
        <v>538</v>
      </c>
      <c r="B1552" s="532"/>
      <c r="C1552" s="532"/>
      <c r="D1552" s="532"/>
      <c r="E1552" s="532"/>
      <c r="F1552" s="532"/>
      <c r="G1552" s="532"/>
      <c r="H1552" s="532"/>
      <c r="I1552" s="532"/>
      <c r="J1552" s="532"/>
      <c r="K1552" s="532"/>
      <c r="L1552" s="532"/>
      <c r="M1552" s="1907"/>
      <c r="O1552" s="412"/>
      <c r="P1552" s="391"/>
      <c r="Q1552" s="393"/>
    </row>
    <row r="1553" spans="1:18" s="49" customFormat="1" ht="30" customHeight="1" x14ac:dyDescent="0.25">
      <c r="A1553" s="866" t="s">
        <v>539</v>
      </c>
      <c r="B1553" s="867"/>
      <c r="C1553" s="868"/>
      <c r="D1553" s="386" t="s">
        <v>1376</v>
      </c>
      <c r="E1553" s="849"/>
      <c r="F1553" s="849"/>
      <c r="G1553" s="849"/>
      <c r="H1553" s="849"/>
      <c r="I1553" s="849"/>
      <c r="J1553" s="849"/>
      <c r="K1553" s="849"/>
      <c r="L1553" s="849"/>
      <c r="M1553" s="1907"/>
      <c r="N1553" s="502"/>
      <c r="O1553" s="412"/>
      <c r="P1553" s="391"/>
      <c r="Q1553" s="393"/>
    </row>
    <row r="1554" spans="1:18" ht="30" customHeight="1" x14ac:dyDescent="0.25">
      <c r="A1554" s="866" t="s">
        <v>541</v>
      </c>
      <c r="B1554" s="867"/>
      <c r="C1554" s="868"/>
      <c r="D1554" s="386" t="s">
        <v>1377</v>
      </c>
      <c r="E1554" s="849"/>
      <c r="F1554" s="849"/>
      <c r="G1554" s="849"/>
      <c r="H1554" s="849"/>
      <c r="I1554" s="849"/>
      <c r="J1554" s="849"/>
      <c r="K1554" s="849"/>
      <c r="L1554" s="849"/>
      <c r="M1554" s="1907"/>
      <c r="O1554" s="412"/>
      <c r="P1554" s="391"/>
      <c r="Q1554" s="393"/>
    </row>
    <row r="1555" spans="1:18" ht="30" customHeight="1" x14ac:dyDescent="0.25">
      <c r="A1555" s="866" t="s">
        <v>543</v>
      </c>
      <c r="B1555" s="867"/>
      <c r="C1555" s="868"/>
      <c r="D1555" s="386" t="s">
        <v>1378</v>
      </c>
      <c r="E1555" s="849"/>
      <c r="F1555" s="849"/>
      <c r="G1555" s="849"/>
      <c r="H1555" s="849"/>
      <c r="I1555" s="849"/>
      <c r="J1555" s="849"/>
      <c r="K1555" s="849"/>
      <c r="L1555" s="849"/>
      <c r="M1555" s="1907"/>
      <c r="O1555" s="412"/>
      <c r="P1555" s="391"/>
      <c r="Q1555" s="393"/>
    </row>
    <row r="1556" spans="1:18" ht="30" customHeight="1" x14ac:dyDescent="0.25">
      <c r="A1556" s="866" t="s">
        <v>546</v>
      </c>
      <c r="B1556" s="867"/>
      <c r="C1556" s="868"/>
      <c r="D1556" s="386" t="s">
        <v>1379</v>
      </c>
      <c r="E1556" s="849"/>
      <c r="F1556" s="849"/>
      <c r="G1556" s="849"/>
      <c r="H1556" s="849"/>
      <c r="I1556" s="849"/>
      <c r="J1556" s="849"/>
      <c r="K1556" s="849"/>
      <c r="L1556" s="849"/>
      <c r="M1556" s="1907"/>
      <c r="O1556" s="412"/>
      <c r="P1556" s="391"/>
      <c r="Q1556" s="393"/>
    </row>
    <row r="1557" spans="1:18" ht="90" customHeight="1" x14ac:dyDescent="0.25">
      <c r="A1557" s="866" t="s">
        <v>548</v>
      </c>
      <c r="B1557" s="867"/>
      <c r="C1557" s="868"/>
      <c r="D1557" s="386" t="s">
        <v>1380</v>
      </c>
      <c r="E1557" s="849"/>
      <c r="F1557" s="849"/>
      <c r="G1557" s="849"/>
      <c r="H1557" s="849"/>
      <c r="I1557" s="849"/>
      <c r="J1557" s="849"/>
      <c r="K1557" s="849"/>
      <c r="L1557" s="849"/>
      <c r="M1557" s="1907"/>
      <c r="O1557" s="412"/>
      <c r="P1557" s="391"/>
      <c r="Q1557" s="393"/>
    </row>
    <row r="1558" spans="1:18" ht="30" customHeight="1" x14ac:dyDescent="0.25">
      <c r="A1558" s="866" t="s">
        <v>550</v>
      </c>
      <c r="B1558" s="867"/>
      <c r="C1558" s="868"/>
      <c r="D1558" s="386" t="s">
        <v>1366</v>
      </c>
      <c r="E1558" s="849"/>
      <c r="F1558" s="849"/>
      <c r="G1558" s="849"/>
      <c r="H1558" s="849"/>
      <c r="I1558" s="849"/>
      <c r="J1558" s="849"/>
      <c r="K1558" s="849"/>
      <c r="L1558" s="849"/>
      <c r="M1558" s="1907"/>
      <c r="O1558" s="412"/>
      <c r="P1558" s="391"/>
      <c r="Q1558" s="393"/>
    </row>
    <row r="1559" spans="1:18" ht="30" customHeight="1" x14ac:dyDescent="0.25">
      <c r="A1559" s="866" t="s">
        <v>552</v>
      </c>
      <c r="B1559" s="867"/>
      <c r="C1559" s="868"/>
      <c r="D1559" s="386" t="s">
        <v>1252</v>
      </c>
      <c r="E1559" s="849"/>
      <c r="F1559" s="849"/>
      <c r="G1559" s="849"/>
      <c r="H1559" s="849"/>
      <c r="I1559" s="849"/>
      <c r="J1559" s="849"/>
      <c r="K1559" s="849"/>
      <c r="L1559" s="849"/>
      <c r="M1559" s="1907"/>
      <c r="O1559" s="412"/>
      <c r="P1559" s="391"/>
      <c r="Q1559" s="393"/>
    </row>
    <row r="1560" spans="1:18" ht="75" customHeight="1" x14ac:dyDescent="0.25">
      <c r="A1560" s="866" t="s">
        <v>802</v>
      </c>
      <c r="B1560" s="867"/>
      <c r="C1560" s="868"/>
      <c r="D1560" s="851" t="s">
        <v>1329</v>
      </c>
      <c r="E1560" s="852"/>
      <c r="F1560" s="852"/>
      <c r="G1560" s="852"/>
      <c r="H1560" s="852"/>
      <c r="I1560" s="852"/>
      <c r="J1560" s="852"/>
      <c r="K1560" s="852"/>
      <c r="L1560" s="852"/>
      <c r="M1560" s="1907"/>
      <c r="O1560" s="412"/>
      <c r="P1560" s="391"/>
      <c r="Q1560" s="393"/>
    </row>
    <row r="1561" spans="1:18" ht="60" customHeight="1" thickBot="1" x14ac:dyDescent="0.3">
      <c r="A1561" s="563" t="s">
        <v>556</v>
      </c>
      <c r="B1561" s="383"/>
      <c r="C1561" s="384"/>
      <c r="D1561" s="960" t="s">
        <v>1381</v>
      </c>
      <c r="E1561" s="961"/>
      <c r="F1561" s="961"/>
      <c r="G1561" s="961"/>
      <c r="H1561" s="961"/>
      <c r="I1561" s="961"/>
      <c r="J1561" s="961"/>
      <c r="K1561" s="961"/>
      <c r="L1561" s="961"/>
      <c r="M1561" s="1907"/>
      <c r="O1561" s="412"/>
      <c r="P1561" s="391"/>
      <c r="Q1561" s="393"/>
    </row>
    <row r="1562" spans="1:18" ht="30" customHeight="1" thickBot="1" x14ac:dyDescent="0.3">
      <c r="A1562" s="76"/>
      <c r="B1562" s="77"/>
      <c r="C1562" s="77"/>
      <c r="D1562" s="77"/>
      <c r="E1562" s="77"/>
      <c r="F1562" s="77"/>
      <c r="G1562" s="77"/>
      <c r="H1562" s="77"/>
      <c r="I1562" s="77"/>
      <c r="J1562" s="77"/>
      <c r="K1562" s="77"/>
      <c r="L1562" s="78"/>
      <c r="M1562" s="1907"/>
      <c r="O1562" s="412"/>
      <c r="P1562" s="391"/>
      <c r="Q1562" s="393"/>
    </row>
    <row r="1563" spans="1:18" ht="30" customHeight="1" x14ac:dyDescent="0.25">
      <c r="A1563" s="207" t="s">
        <v>288</v>
      </c>
      <c r="B1563" s="208">
        <v>2124</v>
      </c>
      <c r="C1563" s="209" t="s">
        <v>1382</v>
      </c>
      <c r="D1563" s="210"/>
      <c r="E1563" s="177" t="s">
        <v>291</v>
      </c>
      <c r="F1563" s="178" t="s">
        <v>11</v>
      </c>
      <c r="G1563" s="465" t="s">
        <v>1383</v>
      </c>
      <c r="H1563" s="539">
        <v>14400</v>
      </c>
      <c r="I1563" s="177" t="s">
        <v>292</v>
      </c>
      <c r="J1563" s="747" t="s">
        <v>883</v>
      </c>
      <c r="K1563" s="747"/>
      <c r="L1563" s="748"/>
      <c r="M1563" s="1907"/>
      <c r="O1563" s="412"/>
      <c r="P1563" s="391"/>
      <c r="Q1563" s="393"/>
    </row>
    <row r="1564" spans="1:18" ht="30" customHeight="1" x14ac:dyDescent="0.25">
      <c r="A1564" s="185" t="s">
        <v>529</v>
      </c>
      <c r="B1564" s="394" t="s">
        <v>560</v>
      </c>
      <c r="C1564" s="395"/>
      <c r="D1564" s="396"/>
      <c r="E1564" s="397" t="s">
        <v>519</v>
      </c>
      <c r="F1564" s="397" t="s">
        <v>561</v>
      </c>
      <c r="G1564" s="398" t="s">
        <v>562</v>
      </c>
      <c r="H1564" s="399"/>
      <c r="I1564" s="181" t="s">
        <v>530</v>
      </c>
      <c r="J1564" s="181"/>
      <c r="K1564" s="288" t="s">
        <v>521</v>
      </c>
      <c r="L1564" s="289"/>
      <c r="M1564" s="1907"/>
      <c r="O1564" s="412"/>
      <c r="P1564" s="391"/>
      <c r="Q1564" s="393"/>
    </row>
    <row r="1565" spans="1:18" ht="30" customHeight="1" x14ac:dyDescent="0.25">
      <c r="A1565" s="20" t="s">
        <v>531</v>
      </c>
      <c r="B1565" s="503" t="s">
        <v>1384</v>
      </c>
      <c r="C1565" s="504"/>
      <c r="D1565" s="505"/>
      <c r="E1565" s="405">
        <v>68250</v>
      </c>
      <c r="F1565" s="20" t="s">
        <v>11</v>
      </c>
      <c r="G1565" s="962"/>
      <c r="H1565" s="758"/>
      <c r="I1565" s="963">
        <v>1.03</v>
      </c>
      <c r="J1565" s="963"/>
      <c r="K1565" s="760">
        <f>+E1565*I1565</f>
        <v>70297.5</v>
      </c>
      <c r="L1565" s="22" t="s">
        <v>11</v>
      </c>
      <c r="M1565" s="1907"/>
      <c r="O1565" s="412"/>
      <c r="P1565" s="391"/>
      <c r="Q1565" s="393"/>
    </row>
    <row r="1566" spans="1:18" ht="30" customHeight="1" x14ac:dyDescent="0.25">
      <c r="A1566" s="20" t="s">
        <v>849</v>
      </c>
      <c r="B1566" s="503" t="s">
        <v>1385</v>
      </c>
      <c r="C1566" s="504"/>
      <c r="D1566" s="505"/>
      <c r="E1566" s="760">
        <f>+(4.41+6.58)/2+8*(0.4+0.58)/2+(0.46+2.32)/2</f>
        <v>10.805</v>
      </c>
      <c r="F1566" s="22" t="s">
        <v>9</v>
      </c>
      <c r="G1566" s="757">
        <f>+H1563</f>
        <v>14400</v>
      </c>
      <c r="H1566" s="758" t="s">
        <v>565</v>
      </c>
      <c r="I1566" s="751">
        <v>1.04</v>
      </c>
      <c r="J1566" s="751"/>
      <c r="K1566" s="756">
        <f>+E1566*G1566*I1566</f>
        <v>161815.67999999999</v>
      </c>
      <c r="L1566" s="22" t="s">
        <v>11</v>
      </c>
      <c r="M1566" s="955"/>
      <c r="N1566" s="671"/>
      <c r="O1566" s="43"/>
      <c r="P1566" s="672"/>
      <c r="Q1566" s="671"/>
      <c r="R1566" s="673"/>
    </row>
    <row r="1567" spans="1:18" ht="30" customHeight="1" x14ac:dyDescent="0.25">
      <c r="A1567" s="20" t="s">
        <v>760</v>
      </c>
      <c r="B1567" s="503" t="s">
        <v>1386</v>
      </c>
      <c r="C1567" s="504"/>
      <c r="D1567" s="505"/>
      <c r="E1567" s="405">
        <v>117</v>
      </c>
      <c r="F1567" s="20" t="s">
        <v>7</v>
      </c>
      <c r="G1567" s="964">
        <v>100</v>
      </c>
      <c r="H1567" s="758" t="s">
        <v>748</v>
      </c>
      <c r="I1567" s="20">
        <v>1.02</v>
      </c>
      <c r="J1567" s="751"/>
      <c r="K1567" s="760">
        <f>+E1567*G1567*I1567</f>
        <v>11934</v>
      </c>
      <c r="L1567" s="22" t="s">
        <v>11</v>
      </c>
      <c r="M1567" s="955"/>
      <c r="N1567" s="671"/>
      <c r="O1567" s="43"/>
      <c r="P1567" s="672"/>
      <c r="Q1567" s="671"/>
      <c r="R1567" s="673"/>
    </row>
    <row r="1568" spans="1:18" s="27" customFormat="1" ht="30" customHeight="1" x14ac:dyDescent="0.25">
      <c r="A1568" s="20" t="s">
        <v>760</v>
      </c>
      <c r="B1568" s="503" t="s">
        <v>1387</v>
      </c>
      <c r="C1568" s="504"/>
      <c r="D1568" s="505"/>
      <c r="E1568" s="405">
        <v>2875</v>
      </c>
      <c r="F1568" s="20" t="s">
        <v>11</v>
      </c>
      <c r="G1568" s="962"/>
      <c r="H1568" s="758"/>
      <c r="I1568" s="20">
        <v>1.02</v>
      </c>
      <c r="J1568" s="751"/>
      <c r="K1568" s="760">
        <f>+E1568*I1568</f>
        <v>2932.5</v>
      </c>
      <c r="L1568" s="22" t="s">
        <v>11</v>
      </c>
      <c r="M1568" s="967"/>
      <c r="N1568" s="654"/>
      <c r="O1568" s="908"/>
      <c r="P1568" s="907"/>
      <c r="Q1568" s="909"/>
    </row>
    <row r="1569" spans="1:18" ht="30" customHeight="1" x14ac:dyDescent="0.25">
      <c r="A1569" s="20"/>
      <c r="B1569" s="410"/>
      <c r="C1569" s="410"/>
      <c r="D1569" s="410"/>
      <c r="E1569" s="23"/>
      <c r="F1569" s="20"/>
      <c r="G1569" s="838"/>
      <c r="H1569" s="754"/>
      <c r="I1569" s="20"/>
      <c r="J1569" s="20" t="s">
        <v>578</v>
      </c>
      <c r="K1569" s="405">
        <f>SUM(K1565:K1568)</f>
        <v>246979.68</v>
      </c>
      <c r="L1569" s="20" t="s">
        <v>11</v>
      </c>
      <c r="M1569" s="1907"/>
      <c r="O1569" s="412"/>
      <c r="P1569" s="391"/>
      <c r="Q1569" s="393"/>
    </row>
    <row r="1570" spans="1:18" ht="30" customHeight="1" x14ac:dyDescent="0.25">
      <c r="A1570" s="20"/>
      <c r="B1570" s="410"/>
      <c r="C1570" s="410"/>
      <c r="D1570" s="410"/>
      <c r="E1570" s="405"/>
      <c r="F1570" s="338" t="s">
        <v>533</v>
      </c>
      <c r="G1570" s="339" t="s">
        <v>534</v>
      </c>
      <c r="H1570" s="339"/>
      <c r="I1570" s="339"/>
      <c r="J1570" s="339"/>
      <c r="K1570" s="340">
        <v>1.07</v>
      </c>
      <c r="L1570" s="10"/>
      <c r="M1570" s="986"/>
      <c r="N1570" s="420"/>
      <c r="O1570"/>
      <c r="P1570" s="412"/>
      <c r="Q1570" s="391"/>
      <c r="R1570" s="393"/>
    </row>
    <row r="1571" spans="1:18" ht="30" customHeight="1" x14ac:dyDescent="0.25">
      <c r="A1571" s="20"/>
      <c r="B1571" s="410"/>
      <c r="C1571" s="410"/>
      <c r="D1571" s="410"/>
      <c r="E1571" s="405"/>
      <c r="F1571" s="343"/>
      <c r="G1571" s="344" t="s">
        <v>535</v>
      </c>
      <c r="H1571" s="344"/>
      <c r="I1571" s="344"/>
      <c r="J1571" s="344"/>
      <c r="K1571" s="340">
        <v>1.02</v>
      </c>
      <c r="L1571" s="10"/>
      <c r="M1571" s="434"/>
      <c r="N1571" s="420"/>
      <c r="O1571"/>
      <c r="P1571" s="412"/>
      <c r="Q1571" s="391"/>
      <c r="R1571" s="393"/>
    </row>
    <row r="1572" spans="1:18" ht="30" customHeight="1" x14ac:dyDescent="0.25">
      <c r="A1572" s="20"/>
      <c r="B1572" s="20"/>
      <c r="C1572" s="18"/>
      <c r="D1572" s="18"/>
      <c r="E1572" s="18"/>
      <c r="F1572" s="18"/>
      <c r="G1572" s="18"/>
      <c r="H1572" s="18"/>
      <c r="I1572" s="18"/>
      <c r="J1572" s="18" t="s">
        <v>358</v>
      </c>
      <c r="K1572" s="23">
        <f>+K1569*K1570/K1571</f>
        <v>259086.52705882353</v>
      </c>
      <c r="L1572" s="20" t="s">
        <v>11</v>
      </c>
      <c r="M1572" s="434"/>
      <c r="N1572" s="420"/>
      <c r="O1572"/>
      <c r="P1572" s="412"/>
      <c r="Q1572" s="391"/>
      <c r="R1572" s="393"/>
    </row>
    <row r="1573" spans="1:18" ht="30" customHeight="1" thickBot="1" x14ac:dyDescent="0.3">
      <c r="A1573" s="20"/>
      <c r="B1573" s="191" t="s">
        <v>1388</v>
      </c>
      <c r="C1573" s="191"/>
      <c r="D1573" s="191"/>
      <c r="E1573" s="18"/>
      <c r="F1573" s="18"/>
      <c r="G1573" s="413" t="s">
        <v>537</v>
      </c>
      <c r="H1573" s="18"/>
      <c r="I1573" s="18"/>
      <c r="J1573" s="361">
        <f>VLOOKUP(B1563,'Mil Cost Premiums for RUCs'!$A$4:$R$265,18,FALSE)</f>
        <v>1.1233553701921195</v>
      </c>
      <c r="K1573" s="23">
        <f>+K1572*J1573</f>
        <v>291046.24151595531</v>
      </c>
      <c r="L1573" s="20" t="s">
        <v>11</v>
      </c>
      <c r="M1573" s="434"/>
      <c r="N1573" s="420"/>
      <c r="O1573"/>
      <c r="P1573" s="412"/>
      <c r="Q1573" s="391"/>
      <c r="R1573" s="393"/>
    </row>
    <row r="1574" spans="1:18" ht="30" customHeight="1" thickBot="1" x14ac:dyDescent="0.3">
      <c r="A1574" s="76"/>
      <c r="B1574" s="77"/>
      <c r="C1574" s="77"/>
      <c r="D1574" s="77"/>
      <c r="E1574" s="77"/>
      <c r="F1574" s="77"/>
      <c r="G1574" s="77"/>
      <c r="H1574" s="77"/>
      <c r="I1574" s="77"/>
      <c r="J1574" s="77"/>
      <c r="K1574" s="77"/>
      <c r="L1574" s="78"/>
      <c r="M1574" s="434"/>
      <c r="N1574" s="420"/>
      <c r="O1574"/>
      <c r="P1574" s="412"/>
      <c r="Q1574" s="391"/>
      <c r="R1574" s="393"/>
    </row>
    <row r="1575" spans="1:18" ht="30" customHeight="1" x14ac:dyDescent="0.25">
      <c r="A1575" s="306" t="s">
        <v>288</v>
      </c>
      <c r="B1575" s="418">
        <v>2125</v>
      </c>
      <c r="C1575" s="953" t="s">
        <v>1389</v>
      </c>
      <c r="D1575" s="953"/>
      <c r="E1575" s="540" t="s">
        <v>291</v>
      </c>
      <c r="F1575" s="541" t="s">
        <v>9</v>
      </c>
      <c r="G1575" s="123" t="s">
        <v>375</v>
      </c>
      <c r="H1575" s="954">
        <v>29185</v>
      </c>
      <c r="I1575" s="540" t="s">
        <v>292</v>
      </c>
      <c r="J1575" s="38" t="s">
        <v>883</v>
      </c>
      <c r="K1575" s="38"/>
      <c r="L1575" s="38"/>
      <c r="M1575" s="434"/>
      <c r="N1575" s="420"/>
      <c r="O1575"/>
      <c r="P1575" s="412"/>
      <c r="Q1575" s="391"/>
      <c r="R1575" s="393"/>
    </row>
    <row r="1576" spans="1:18" ht="30" customHeight="1" x14ac:dyDescent="0.25">
      <c r="A1576" s="695" t="s">
        <v>529</v>
      </c>
      <c r="B1576" s="543" t="s">
        <v>560</v>
      </c>
      <c r="C1576" s="544"/>
      <c r="D1576" s="545"/>
      <c r="E1576" s="546" t="s">
        <v>519</v>
      </c>
      <c r="F1576" s="546" t="s">
        <v>561</v>
      </c>
      <c r="G1576" s="288" t="s">
        <v>562</v>
      </c>
      <c r="H1576" s="289"/>
      <c r="I1576" s="938" t="s">
        <v>1347</v>
      </c>
      <c r="J1576" s="424" t="s">
        <v>530</v>
      </c>
      <c r="K1576" s="288" t="s">
        <v>521</v>
      </c>
      <c r="L1576" s="423"/>
      <c r="M1576" s="434"/>
      <c r="N1576" s="420"/>
      <c r="O1576"/>
      <c r="P1576" s="412"/>
      <c r="Q1576" s="391"/>
      <c r="R1576" s="393"/>
    </row>
    <row r="1577" spans="1:18" ht="30" customHeight="1" x14ac:dyDescent="0.25">
      <c r="A1577" s="24" t="s">
        <v>758</v>
      </c>
      <c r="B1577" s="346" t="s">
        <v>1390</v>
      </c>
      <c r="C1577" s="347"/>
      <c r="D1577" s="348"/>
      <c r="E1577" s="326">
        <v>149.46</v>
      </c>
      <c r="F1577" s="10" t="s">
        <v>9</v>
      </c>
      <c r="G1577" s="939"/>
      <c r="H1577" s="698"/>
      <c r="I1577" s="940">
        <f>+E1577</f>
        <v>149.46</v>
      </c>
      <c r="J1577" s="10">
        <v>1.03</v>
      </c>
      <c r="K1577" s="700">
        <f t="shared" ref="K1577:K1587" si="31">+I1577*J1577</f>
        <v>153.94380000000001</v>
      </c>
      <c r="L1577" s="844" t="s">
        <v>9</v>
      </c>
      <c r="M1577" s="434"/>
      <c r="N1577" s="420"/>
      <c r="O1577"/>
      <c r="P1577" s="412"/>
      <c r="Q1577" s="391"/>
      <c r="R1577" s="393"/>
    </row>
    <row r="1578" spans="1:18" ht="30" customHeight="1" x14ac:dyDescent="0.25">
      <c r="A1578" s="24" t="s">
        <v>644</v>
      </c>
      <c r="B1578" s="346" t="s">
        <v>1391</v>
      </c>
      <c r="C1578" s="347"/>
      <c r="D1578" s="348"/>
      <c r="E1578" s="364">
        <v>3.31</v>
      </c>
      <c r="F1578" s="10" t="s">
        <v>9</v>
      </c>
      <c r="G1578" s="941"/>
      <c r="H1578" s="922"/>
      <c r="I1578" s="942">
        <f>+E1578</f>
        <v>3.31</v>
      </c>
      <c r="J1578" s="10">
        <v>1.03</v>
      </c>
      <c r="K1578" s="700">
        <f t="shared" si="31"/>
        <v>3.4093</v>
      </c>
      <c r="L1578" s="844" t="s">
        <v>9</v>
      </c>
      <c r="M1578" s="1909"/>
      <c r="N1578" s="420"/>
      <c r="O1578"/>
      <c r="P1578" s="412"/>
      <c r="Q1578" s="391"/>
      <c r="R1578" s="393"/>
    </row>
    <row r="1579" spans="1:18" ht="30" customHeight="1" x14ac:dyDescent="0.25">
      <c r="A1579" s="24" t="s">
        <v>644</v>
      </c>
      <c r="B1579" s="346" t="s">
        <v>1350</v>
      </c>
      <c r="C1579" s="347"/>
      <c r="D1579" s="348"/>
      <c r="E1579" s="14">
        <f>0.15*E1578</f>
        <v>0.4965</v>
      </c>
      <c r="F1579" s="844" t="s">
        <v>9</v>
      </c>
      <c r="G1579" s="941"/>
      <c r="H1579" s="922"/>
      <c r="I1579" s="942">
        <f>E1579</f>
        <v>0.4965</v>
      </c>
      <c r="J1579" s="10">
        <v>1.03</v>
      </c>
      <c r="K1579" s="326">
        <f t="shared" si="31"/>
        <v>0.51139500000000004</v>
      </c>
      <c r="L1579" s="10" t="s">
        <v>9</v>
      </c>
      <c r="M1579" s="105"/>
      <c r="N1579" s="420"/>
      <c r="O1579"/>
      <c r="P1579" s="412"/>
      <c r="Q1579" s="391"/>
      <c r="R1579" s="393"/>
    </row>
    <row r="1580" spans="1:18" ht="30" customHeight="1" x14ac:dyDescent="0.25">
      <c r="A1580" s="24" t="s">
        <v>644</v>
      </c>
      <c r="B1580" s="346" t="s">
        <v>1351</v>
      </c>
      <c r="C1580" s="347"/>
      <c r="D1580" s="348"/>
      <c r="E1580" s="14">
        <f xml:space="preserve"> 0.53+((1.06+1.57)/2)</f>
        <v>1.845</v>
      </c>
      <c r="F1580" s="844" t="s">
        <v>9</v>
      </c>
      <c r="G1580" s="941"/>
      <c r="H1580" s="922"/>
      <c r="I1580" s="942">
        <f>E1580</f>
        <v>1.845</v>
      </c>
      <c r="J1580" s="10">
        <v>1.03</v>
      </c>
      <c r="K1580" s="326">
        <f t="shared" si="31"/>
        <v>1.90035</v>
      </c>
      <c r="L1580" s="6" t="s">
        <v>9</v>
      </c>
      <c r="M1580" s="1067"/>
      <c r="N1580" s="420"/>
      <c r="O1580"/>
      <c r="P1580" s="412"/>
      <c r="Q1580" s="391"/>
      <c r="R1580" s="393"/>
    </row>
    <row r="1581" spans="1:18" ht="30" customHeight="1" x14ac:dyDescent="0.25">
      <c r="A1581" s="24" t="s">
        <v>760</v>
      </c>
      <c r="B1581" s="346" t="s">
        <v>1392</v>
      </c>
      <c r="C1581" s="347"/>
      <c r="D1581" s="348"/>
      <c r="E1581" s="326">
        <v>166000</v>
      </c>
      <c r="F1581" s="844" t="s">
        <v>11</v>
      </c>
      <c r="G1581" s="941"/>
      <c r="H1581" s="922" t="s">
        <v>1353</v>
      </c>
      <c r="I1581" s="942">
        <f>+E1581*2/$H$1575</f>
        <v>11.375706698646566</v>
      </c>
      <c r="J1581" s="10">
        <v>1.02</v>
      </c>
      <c r="K1581" s="326">
        <f t="shared" si="31"/>
        <v>11.603220832619497</v>
      </c>
      <c r="L1581" s="6" t="s">
        <v>9</v>
      </c>
      <c r="M1581" s="1067"/>
      <c r="N1581" s="420"/>
      <c r="O1581"/>
      <c r="P1581" s="412"/>
      <c r="Q1581" s="391"/>
      <c r="R1581" s="393"/>
    </row>
    <row r="1582" spans="1:18" s="49" customFormat="1" ht="30" customHeight="1" x14ac:dyDescent="0.25">
      <c r="A1582" s="24" t="s">
        <v>664</v>
      </c>
      <c r="B1582" s="462" t="s">
        <v>1393</v>
      </c>
      <c r="C1582" s="464"/>
      <c r="D1582" s="464"/>
      <c r="E1582" s="14">
        <f>+(19.15+29.75)/2</f>
        <v>24.45</v>
      </c>
      <c r="F1582" s="844" t="s">
        <v>1355</v>
      </c>
      <c r="G1582" s="941">
        <f>4*81</f>
        <v>324</v>
      </c>
      <c r="H1582" s="922" t="s">
        <v>9</v>
      </c>
      <c r="I1582" s="942">
        <f>+E1582*G1582/H1575</f>
        <v>0.27143395579921192</v>
      </c>
      <c r="J1582" s="10">
        <v>1.02</v>
      </c>
      <c r="K1582" s="326">
        <f t="shared" si="31"/>
        <v>0.27686263491519619</v>
      </c>
      <c r="L1582" s="6" t="s">
        <v>9</v>
      </c>
      <c r="M1582" s="425"/>
      <c r="N1582" s="420"/>
      <c r="P1582" s="412"/>
      <c r="Q1582" s="391"/>
      <c r="R1582" s="393"/>
    </row>
    <row r="1583" spans="1:18" ht="30" customHeight="1" x14ac:dyDescent="0.25">
      <c r="A1583" s="24" t="s">
        <v>664</v>
      </c>
      <c r="B1583" s="426" t="s">
        <v>1394</v>
      </c>
      <c r="C1583" s="427"/>
      <c r="D1583" s="428"/>
      <c r="E1583" s="946">
        <f>+(1610+2280)/2</f>
        <v>1945</v>
      </c>
      <c r="F1583" s="10" t="s">
        <v>11</v>
      </c>
      <c r="G1583" s="352">
        <v>4</v>
      </c>
      <c r="H1583" s="14" t="s">
        <v>1358</v>
      </c>
      <c r="I1583" s="942">
        <f t="shared" ref="I1583:I1587" si="32">+E1583*G1583/$H$1575</f>
        <v>0.26657529552852494</v>
      </c>
      <c r="J1583" s="10">
        <v>1.02</v>
      </c>
      <c r="K1583" s="326">
        <f t="shared" si="31"/>
        <v>0.27190680143909546</v>
      </c>
      <c r="L1583" s="6" t="s">
        <v>9</v>
      </c>
      <c r="M1583" s="1067"/>
      <c r="N1583" s="420"/>
      <c r="O1583"/>
      <c r="P1583" s="412"/>
      <c r="Q1583" s="391"/>
      <c r="R1583" s="393"/>
    </row>
    <row r="1584" spans="1:18" ht="30" customHeight="1" x14ac:dyDescent="0.25">
      <c r="A1584" s="24" t="s">
        <v>668</v>
      </c>
      <c r="B1584" s="346" t="s">
        <v>1395</v>
      </c>
      <c r="C1584" s="347"/>
      <c r="D1584" s="348"/>
      <c r="E1584" s="326">
        <f>+(31.5+75)/2</f>
        <v>53.25</v>
      </c>
      <c r="F1584" s="844" t="s">
        <v>7</v>
      </c>
      <c r="G1584" s="941">
        <f>4*10</f>
        <v>40</v>
      </c>
      <c r="H1584" s="922" t="s">
        <v>1396</v>
      </c>
      <c r="I1584" s="942">
        <f t="shared" si="32"/>
        <v>7.2982696590714408E-2</v>
      </c>
      <c r="J1584" s="10">
        <v>1.04</v>
      </c>
      <c r="K1584" s="326">
        <f t="shared" si="31"/>
        <v>7.5902004454342989E-2</v>
      </c>
      <c r="L1584" s="6" t="s">
        <v>9</v>
      </c>
      <c r="M1584" s="1067"/>
      <c r="N1584" s="420"/>
      <c r="O1584"/>
      <c r="P1584" s="412"/>
      <c r="Q1584" s="391"/>
      <c r="R1584" s="393"/>
    </row>
    <row r="1585" spans="1:18" ht="30" customHeight="1" x14ac:dyDescent="0.25">
      <c r="A1585" s="24" t="s">
        <v>668</v>
      </c>
      <c r="B1585" s="346" t="s">
        <v>1397</v>
      </c>
      <c r="C1585" s="347"/>
      <c r="D1585" s="348"/>
      <c r="E1585" s="326">
        <f>+(5900+11300)/2</f>
        <v>8600</v>
      </c>
      <c r="F1585" s="844" t="s">
        <v>11</v>
      </c>
      <c r="G1585" s="941">
        <v>4</v>
      </c>
      <c r="H1585" s="922" t="s">
        <v>1353</v>
      </c>
      <c r="I1585" s="942">
        <f t="shared" si="32"/>
        <v>1.1786876820284393</v>
      </c>
      <c r="J1585" s="10">
        <v>1.04</v>
      </c>
      <c r="K1585" s="326">
        <f t="shared" si="31"/>
        <v>1.2258351893095769</v>
      </c>
      <c r="L1585" s="6" t="s">
        <v>9</v>
      </c>
      <c r="M1585" s="1067"/>
      <c r="N1585" s="420"/>
      <c r="O1585"/>
      <c r="P1585" s="412"/>
      <c r="Q1585" s="391"/>
      <c r="R1585" s="393"/>
    </row>
    <row r="1586" spans="1:18" ht="30" customHeight="1" x14ac:dyDescent="0.25">
      <c r="A1586" s="24" t="s">
        <v>668</v>
      </c>
      <c r="B1586" s="346" t="s">
        <v>1398</v>
      </c>
      <c r="C1586" s="347"/>
      <c r="D1586" s="348"/>
      <c r="E1586" s="364">
        <f>+(605+925)/2</f>
        <v>765</v>
      </c>
      <c r="F1586" s="844" t="s">
        <v>11</v>
      </c>
      <c r="G1586" s="941">
        <v>4</v>
      </c>
      <c r="H1586" s="922" t="s">
        <v>1353</v>
      </c>
      <c r="I1586" s="942">
        <f t="shared" si="32"/>
        <v>0.10484838101764606</v>
      </c>
      <c r="J1586" s="10">
        <v>1.04</v>
      </c>
      <c r="K1586" s="326">
        <f t="shared" si="31"/>
        <v>0.1090423162583519</v>
      </c>
      <c r="L1586" s="6" t="s">
        <v>9</v>
      </c>
      <c r="M1586" s="1067"/>
      <c r="N1586" s="420"/>
      <c r="O1586"/>
      <c r="P1586" s="412"/>
      <c r="Q1586" s="391"/>
      <c r="R1586" s="393"/>
    </row>
    <row r="1587" spans="1:18" ht="30" customHeight="1" x14ac:dyDescent="0.25">
      <c r="A1587" s="24" t="s">
        <v>668</v>
      </c>
      <c r="B1587" s="346" t="s">
        <v>1399</v>
      </c>
      <c r="C1587" s="347"/>
      <c r="D1587" s="348"/>
      <c r="E1587" s="326">
        <f>+(1060+3175)/2</f>
        <v>2117.5</v>
      </c>
      <c r="F1587" s="844" t="s">
        <v>11</v>
      </c>
      <c r="G1587" s="941">
        <v>4</v>
      </c>
      <c r="H1587" s="922" t="s">
        <v>1353</v>
      </c>
      <c r="I1587" s="942">
        <f t="shared" si="32"/>
        <v>0.2902175775227</v>
      </c>
      <c r="J1587" s="10">
        <v>1.04</v>
      </c>
      <c r="K1587" s="326">
        <f t="shared" si="31"/>
        <v>0.301826280623608</v>
      </c>
      <c r="L1587" s="6" t="s">
        <v>9</v>
      </c>
      <c r="M1587" s="1067"/>
      <c r="N1587" s="420"/>
      <c r="O1587"/>
      <c r="P1587" s="412"/>
      <c r="Q1587" s="391"/>
      <c r="R1587" s="393"/>
    </row>
    <row r="1588" spans="1:18" ht="30" customHeight="1" x14ac:dyDescent="0.25">
      <c r="A1588" s="24"/>
      <c r="B1588" s="701"/>
      <c r="C1588" s="701"/>
      <c r="D1588" s="701"/>
      <c r="E1588" s="326"/>
      <c r="F1588" s="845"/>
      <c r="G1588" s="846"/>
      <c r="H1588" s="846"/>
      <c r="I1588" s="10"/>
      <c r="J1588" s="10" t="s">
        <v>646</v>
      </c>
      <c r="K1588" s="326">
        <f>SUM(K1577:K1587)</f>
        <v>173.62944105961967</v>
      </c>
      <c r="L1588" s="10" t="s">
        <v>9</v>
      </c>
      <c r="M1588" s="670"/>
      <c r="N1588" s="671"/>
      <c r="O1588" s="43"/>
      <c r="P1588" s="672"/>
      <c r="Q1588" s="671"/>
      <c r="R1588" s="673"/>
    </row>
    <row r="1589" spans="1:18" ht="30" customHeight="1" x14ac:dyDescent="0.25">
      <c r="A1589" s="61"/>
      <c r="B1589" s="410"/>
      <c r="C1589" s="410"/>
      <c r="D1589" s="410"/>
      <c r="E1589" s="410"/>
      <c r="F1589" s="338" t="s">
        <v>533</v>
      </c>
      <c r="G1589" s="339" t="s">
        <v>534</v>
      </c>
      <c r="H1589" s="339"/>
      <c r="I1589" s="339"/>
      <c r="J1589" s="339"/>
      <c r="K1589" s="340">
        <v>1.08</v>
      </c>
      <c r="L1589" s="10"/>
      <c r="M1589" s="670"/>
      <c r="N1589" s="671"/>
      <c r="O1589" s="43"/>
      <c r="P1589" s="672"/>
      <c r="Q1589" s="671"/>
      <c r="R1589" s="673"/>
    </row>
    <row r="1590" spans="1:18" ht="30" customHeight="1" x14ac:dyDescent="0.25">
      <c r="A1590" s="61"/>
      <c r="B1590" s="410"/>
      <c r="C1590" s="410"/>
      <c r="D1590" s="410"/>
      <c r="E1590" s="410"/>
      <c r="F1590" s="343"/>
      <c r="G1590" s="344" t="s">
        <v>535</v>
      </c>
      <c r="H1590" s="344"/>
      <c r="I1590" s="344"/>
      <c r="J1590" s="344"/>
      <c r="K1590" s="340">
        <v>1.02</v>
      </c>
      <c r="L1590" s="10"/>
      <c r="M1590" s="1067"/>
      <c r="N1590" s="1895"/>
      <c r="O1590"/>
      <c r="P1590" s="412"/>
      <c r="Q1590" s="391"/>
      <c r="R1590" s="393"/>
    </row>
    <row r="1591" spans="1:18" ht="30" customHeight="1" x14ac:dyDescent="0.25">
      <c r="A1591" s="24"/>
      <c r="B1591" s="10"/>
      <c r="C1591" s="13"/>
      <c r="D1591" s="13"/>
      <c r="E1591" s="13"/>
      <c r="F1591" s="13"/>
      <c r="G1591" s="13"/>
      <c r="H1591" s="13"/>
      <c r="I1591" s="13"/>
      <c r="J1591" s="13" t="s">
        <v>358</v>
      </c>
      <c r="K1591" s="14">
        <f>+K1588*K1589/K1590</f>
        <v>183.84293759253848</v>
      </c>
      <c r="L1591" s="10" t="s">
        <v>9</v>
      </c>
      <c r="M1591" s="1274"/>
      <c r="N1591" s="671"/>
      <c r="O1591"/>
      <c r="P1591" s="412"/>
      <c r="Q1591" s="391"/>
      <c r="R1591" s="393"/>
    </row>
    <row r="1592" spans="1:18" ht="30" customHeight="1" thickBot="1" x14ac:dyDescent="0.3">
      <c r="A1592" s="24"/>
      <c r="B1592" s="10"/>
      <c r="C1592" s="13"/>
      <c r="D1592" s="13"/>
      <c r="E1592" s="13"/>
      <c r="F1592" s="13"/>
      <c r="G1592" s="413" t="s">
        <v>537</v>
      </c>
      <c r="H1592" s="13"/>
      <c r="I1592" s="13"/>
      <c r="J1592" s="361">
        <f>VLOOKUP(B1575,'Mil Cost Premiums for RUCs'!$A$4:$R$265,18,FALSE)</f>
        <v>1.1932356231980656</v>
      </c>
      <c r="K1592" s="966">
        <f>+K1591*J1592</f>
        <v>219.36794220879574</v>
      </c>
      <c r="L1592" s="10" t="s">
        <v>9</v>
      </c>
      <c r="M1592" s="1906"/>
      <c r="N1592" s="671"/>
      <c r="O1592"/>
      <c r="P1592" s="412"/>
      <c r="Q1592" s="391"/>
      <c r="R1592" s="393"/>
    </row>
    <row r="1593" spans="1:18" ht="30" customHeight="1" thickBot="1" x14ac:dyDescent="0.3">
      <c r="A1593" s="76"/>
      <c r="B1593" s="77"/>
      <c r="C1593" s="77"/>
      <c r="D1593" s="77"/>
      <c r="E1593" s="77"/>
      <c r="F1593" s="77"/>
      <c r="G1593" s="77"/>
      <c r="H1593" s="77"/>
      <c r="I1593" s="77"/>
      <c r="J1593" s="77"/>
      <c r="K1593" s="1858"/>
      <c r="L1593" s="1859"/>
      <c r="M1593" s="1907"/>
      <c r="O1593" s="412"/>
      <c r="P1593" s="391"/>
      <c r="Q1593" s="393"/>
    </row>
    <row r="1594" spans="1:18" s="49" customFormat="1" ht="30" customHeight="1" x14ac:dyDescent="0.25">
      <c r="A1594" s="306" t="s">
        <v>288</v>
      </c>
      <c r="B1594" s="418">
        <v>2126</v>
      </c>
      <c r="C1594" s="953" t="s">
        <v>1400</v>
      </c>
      <c r="D1594" s="953"/>
      <c r="E1594" s="540" t="s">
        <v>291</v>
      </c>
      <c r="F1594" s="541" t="s">
        <v>9</v>
      </c>
      <c r="G1594" s="123" t="s">
        <v>375</v>
      </c>
      <c r="H1594" s="954">
        <v>33293</v>
      </c>
      <c r="I1594" s="540" t="s">
        <v>292</v>
      </c>
      <c r="J1594" s="38" t="s">
        <v>883</v>
      </c>
      <c r="K1594" s="38"/>
      <c r="L1594" s="38"/>
      <c r="M1594" s="967"/>
      <c r="N1594" s="502"/>
      <c r="O1594" s="412"/>
      <c r="P1594" s="391"/>
      <c r="Q1594" s="393"/>
    </row>
    <row r="1595" spans="1:18" ht="30" customHeight="1" x14ac:dyDescent="0.25">
      <c r="A1595" s="695" t="s">
        <v>529</v>
      </c>
      <c r="B1595" s="543" t="s">
        <v>560</v>
      </c>
      <c r="C1595" s="544"/>
      <c r="D1595" s="545"/>
      <c r="E1595" s="546" t="s">
        <v>519</v>
      </c>
      <c r="F1595" s="546" t="s">
        <v>561</v>
      </c>
      <c r="G1595" s="288" t="s">
        <v>562</v>
      </c>
      <c r="H1595" s="289"/>
      <c r="I1595" s="938" t="s">
        <v>1347</v>
      </c>
      <c r="J1595" s="424" t="s">
        <v>530</v>
      </c>
      <c r="K1595" s="288" t="s">
        <v>521</v>
      </c>
      <c r="L1595" s="423"/>
      <c r="M1595" s="1907"/>
      <c r="O1595" s="412"/>
      <c r="P1595" s="391"/>
      <c r="Q1595" s="393"/>
    </row>
    <row r="1596" spans="1:18" ht="30" customHeight="1" x14ac:dyDescent="0.25">
      <c r="A1596" s="24" t="s">
        <v>758</v>
      </c>
      <c r="B1596" s="346" t="s">
        <v>1390</v>
      </c>
      <c r="C1596" s="347"/>
      <c r="D1596" s="348"/>
      <c r="E1596" s="326">
        <v>149.46</v>
      </c>
      <c r="F1596" s="10" t="s">
        <v>9</v>
      </c>
      <c r="G1596" s="939"/>
      <c r="H1596" s="698"/>
      <c r="I1596" s="940">
        <f>+E1596</f>
        <v>149.46</v>
      </c>
      <c r="J1596" s="10">
        <v>1.03</v>
      </c>
      <c r="K1596" s="700">
        <f>+I1596*J1596</f>
        <v>153.94380000000001</v>
      </c>
      <c r="L1596" s="697" t="s">
        <v>9</v>
      </c>
      <c r="M1596" s="1907"/>
      <c r="O1596" s="412"/>
      <c r="P1596" s="391"/>
      <c r="Q1596" s="393"/>
    </row>
    <row r="1597" spans="1:18" ht="30" customHeight="1" x14ac:dyDescent="0.25">
      <c r="A1597" s="24" t="s">
        <v>644</v>
      </c>
      <c r="B1597" s="346" t="s">
        <v>1401</v>
      </c>
      <c r="C1597" s="347"/>
      <c r="D1597" s="348"/>
      <c r="E1597" s="364">
        <v>4.67</v>
      </c>
      <c r="F1597" s="10" t="s">
        <v>9</v>
      </c>
      <c r="G1597" s="941"/>
      <c r="H1597" s="922"/>
      <c r="I1597" s="940">
        <f>+E1597</f>
        <v>4.67</v>
      </c>
      <c r="J1597" s="10">
        <v>1.05</v>
      </c>
      <c r="K1597" s="700">
        <f>+I1597*J1597</f>
        <v>4.9035000000000002</v>
      </c>
      <c r="L1597" s="697" t="s">
        <v>9</v>
      </c>
      <c r="M1597" s="1907"/>
      <c r="O1597" s="412"/>
      <c r="P1597" s="391"/>
      <c r="Q1597" s="393"/>
    </row>
    <row r="1598" spans="1:18" ht="30" customHeight="1" x14ac:dyDescent="0.25">
      <c r="A1598" s="24" t="s">
        <v>644</v>
      </c>
      <c r="B1598" s="346" t="s">
        <v>1402</v>
      </c>
      <c r="C1598" s="347"/>
      <c r="D1598" s="348"/>
      <c r="E1598" s="14">
        <f>0.15*E1597</f>
        <v>0.70050000000000001</v>
      </c>
      <c r="F1598" s="844" t="s">
        <v>9</v>
      </c>
      <c r="G1598" s="941"/>
      <c r="H1598" s="922"/>
      <c r="I1598" s="940">
        <f>+E1598</f>
        <v>0.70050000000000001</v>
      </c>
      <c r="J1598" s="10">
        <v>1.05</v>
      </c>
      <c r="K1598" s="700">
        <f>+I1598*J1598</f>
        <v>0.7355250000000001</v>
      </c>
      <c r="L1598" s="697" t="s">
        <v>9</v>
      </c>
      <c r="M1598" s="1907"/>
      <c r="O1598" s="412"/>
      <c r="P1598" s="391"/>
      <c r="Q1598" s="393"/>
    </row>
    <row r="1599" spans="1:18" ht="30" customHeight="1" x14ac:dyDescent="0.25">
      <c r="A1599" s="24" t="s">
        <v>644</v>
      </c>
      <c r="B1599" s="346" t="s">
        <v>1351</v>
      </c>
      <c r="C1599" s="347"/>
      <c r="D1599" s="348"/>
      <c r="E1599" s="14">
        <f xml:space="preserve"> 0.53+((1.06+1.57)/2)</f>
        <v>1.845</v>
      </c>
      <c r="F1599" s="844" t="s">
        <v>9</v>
      </c>
      <c r="G1599" s="941"/>
      <c r="H1599" s="922"/>
      <c r="I1599" s="942">
        <f>+E1599</f>
        <v>1.845</v>
      </c>
      <c r="J1599" s="10">
        <v>1.03</v>
      </c>
      <c r="K1599" s="700">
        <f>+I1599*J1599</f>
        <v>1.90035</v>
      </c>
      <c r="L1599" s="844" t="s">
        <v>9</v>
      </c>
      <c r="M1599" s="1907"/>
      <c r="O1599" s="412"/>
      <c r="P1599" s="391"/>
      <c r="Q1599" s="393"/>
    </row>
    <row r="1600" spans="1:18" ht="30" customHeight="1" x14ac:dyDescent="0.25">
      <c r="A1600" s="24" t="s">
        <v>760</v>
      </c>
      <c r="B1600" s="346" t="s">
        <v>1352</v>
      </c>
      <c r="C1600" s="347"/>
      <c r="D1600" s="348"/>
      <c r="E1600" s="326">
        <v>166000</v>
      </c>
      <c r="F1600" s="844" t="s">
        <v>11</v>
      </c>
      <c r="G1600" s="941"/>
      <c r="H1600" s="922" t="s">
        <v>1353</v>
      </c>
      <c r="I1600" s="942">
        <f>+E1600/H1594</f>
        <v>4.9860331000510616</v>
      </c>
      <c r="J1600" s="10">
        <v>1.02</v>
      </c>
      <c r="K1600" s="700">
        <f t="shared" ref="K1600:K1606" si="33">+I1600*J1600</f>
        <v>5.0857537620520832</v>
      </c>
      <c r="L1600" s="697" t="s">
        <v>9</v>
      </c>
      <c r="M1600" s="1907"/>
      <c r="O1600" s="412"/>
      <c r="P1600" s="391"/>
      <c r="Q1600" s="393"/>
    </row>
    <row r="1601" spans="1:18" ht="30" customHeight="1" x14ac:dyDescent="0.25">
      <c r="A1601" s="24" t="s">
        <v>664</v>
      </c>
      <c r="B1601" s="462" t="s">
        <v>1403</v>
      </c>
      <c r="C1601" s="464"/>
      <c r="D1601" s="464"/>
      <c r="E1601" s="14">
        <f>+(19.15+29.75)/2</f>
        <v>24.45</v>
      </c>
      <c r="F1601" s="10" t="s">
        <v>1355</v>
      </c>
      <c r="G1601" s="352">
        <f>4*81</f>
        <v>324</v>
      </c>
      <c r="H1601" s="968" t="s">
        <v>1396</v>
      </c>
      <c r="I1601" s="942">
        <f t="shared" ref="I1601:I1606" si="34">+E1601*G1601/33595</f>
        <v>0.23580294686709333</v>
      </c>
      <c r="J1601" s="10">
        <v>1.02</v>
      </c>
      <c r="K1601" s="700">
        <f t="shared" si="33"/>
        <v>0.24051900580443519</v>
      </c>
      <c r="L1601" s="697" t="s">
        <v>9</v>
      </c>
      <c r="M1601" s="1907"/>
      <c r="O1601" s="412"/>
      <c r="P1601" s="391"/>
      <c r="Q1601" s="393"/>
    </row>
    <row r="1602" spans="1:18" ht="30" customHeight="1" x14ac:dyDescent="0.25">
      <c r="A1602" s="24" t="s">
        <v>664</v>
      </c>
      <c r="B1602" s="943" t="s">
        <v>1394</v>
      </c>
      <c r="C1602" s="944"/>
      <c r="D1602" s="945"/>
      <c r="E1602" s="946">
        <f>+(1610+2280)/2</f>
        <v>1945</v>
      </c>
      <c r="F1602" s="10" t="s">
        <v>11</v>
      </c>
      <c r="G1602" s="352">
        <v>4</v>
      </c>
      <c r="H1602" s="14" t="s">
        <v>1358</v>
      </c>
      <c r="I1602" s="942">
        <f t="shared" si="34"/>
        <v>0.23158208066676589</v>
      </c>
      <c r="J1602" s="10">
        <v>1.02</v>
      </c>
      <c r="K1602" s="700">
        <f t="shared" si="33"/>
        <v>0.23621372228010121</v>
      </c>
      <c r="L1602" s="697" t="s">
        <v>9</v>
      </c>
      <c r="M1602" s="1907"/>
      <c r="O1602" s="412"/>
      <c r="P1602" s="391"/>
      <c r="Q1602" s="393"/>
    </row>
    <row r="1603" spans="1:18" ht="30" customHeight="1" x14ac:dyDescent="0.25">
      <c r="A1603" s="24" t="s">
        <v>668</v>
      </c>
      <c r="B1603" s="346" t="s">
        <v>1404</v>
      </c>
      <c r="C1603" s="347"/>
      <c r="D1603" s="348"/>
      <c r="E1603" s="326">
        <f>+(31.5+75)/2</f>
        <v>53.25</v>
      </c>
      <c r="F1603" s="844" t="s">
        <v>7</v>
      </c>
      <c r="G1603" s="941">
        <f>4*10</f>
        <v>40</v>
      </c>
      <c r="H1603" s="922" t="s">
        <v>1396</v>
      </c>
      <c r="I1603" s="942">
        <f t="shared" si="34"/>
        <v>6.3402292007739253E-2</v>
      </c>
      <c r="J1603" s="10">
        <v>1.04</v>
      </c>
      <c r="K1603" s="700">
        <f t="shared" si="33"/>
        <v>6.5938383688048829E-2</v>
      </c>
      <c r="L1603" s="697" t="s">
        <v>9</v>
      </c>
      <c r="M1603" s="1907"/>
      <c r="O1603" s="412"/>
      <c r="P1603" s="391"/>
      <c r="Q1603" s="393"/>
    </row>
    <row r="1604" spans="1:18" ht="30" customHeight="1" x14ac:dyDescent="0.25">
      <c r="A1604" s="24" t="s">
        <v>668</v>
      </c>
      <c r="B1604" s="346" t="s">
        <v>1397</v>
      </c>
      <c r="C1604" s="347"/>
      <c r="D1604" s="348"/>
      <c r="E1604" s="326">
        <f>+(5900+11300)/2</f>
        <v>8600</v>
      </c>
      <c r="F1604" s="844" t="s">
        <v>11</v>
      </c>
      <c r="G1604" s="941">
        <v>4</v>
      </c>
      <c r="H1604" s="922" t="s">
        <v>1353</v>
      </c>
      <c r="I1604" s="942">
        <f t="shared" si="34"/>
        <v>1.0239618990921269</v>
      </c>
      <c r="J1604" s="10">
        <v>1.04</v>
      </c>
      <c r="K1604" s="700">
        <f t="shared" si="33"/>
        <v>1.0649203750558121</v>
      </c>
      <c r="L1604" s="697" t="s">
        <v>9</v>
      </c>
      <c r="M1604" s="1907"/>
      <c r="O1604" s="412"/>
      <c r="P1604" s="391"/>
      <c r="Q1604" s="393"/>
    </row>
    <row r="1605" spans="1:18" ht="30" customHeight="1" x14ac:dyDescent="0.25">
      <c r="A1605" s="24" t="s">
        <v>668</v>
      </c>
      <c r="B1605" s="346" t="s">
        <v>1398</v>
      </c>
      <c r="C1605" s="347"/>
      <c r="D1605" s="348"/>
      <c r="E1605" s="364">
        <f>+(605+925)/2</f>
        <v>765</v>
      </c>
      <c r="F1605" s="844" t="s">
        <v>11</v>
      </c>
      <c r="G1605" s="941">
        <v>4</v>
      </c>
      <c r="H1605" s="922" t="s">
        <v>1353</v>
      </c>
      <c r="I1605" s="942">
        <f t="shared" si="34"/>
        <v>9.108498288435779E-2</v>
      </c>
      <c r="J1605" s="10">
        <v>1.04</v>
      </c>
      <c r="K1605" s="700">
        <f t="shared" si="33"/>
        <v>9.4728382199732106E-2</v>
      </c>
      <c r="L1605" s="844" t="s">
        <v>9</v>
      </c>
      <c r="M1605" s="1907"/>
      <c r="O1605" s="412"/>
      <c r="P1605" s="391"/>
      <c r="Q1605" s="393"/>
    </row>
    <row r="1606" spans="1:18" ht="30" customHeight="1" x14ac:dyDescent="0.25">
      <c r="A1606" s="24" t="s">
        <v>668</v>
      </c>
      <c r="B1606" s="346" t="s">
        <v>1399</v>
      </c>
      <c r="C1606" s="347"/>
      <c r="D1606" s="348"/>
      <c r="E1606" s="326">
        <f>+(1060+3175)/2</f>
        <v>2117.5</v>
      </c>
      <c r="F1606" s="844" t="s">
        <v>11</v>
      </c>
      <c r="G1606" s="941">
        <v>4</v>
      </c>
      <c r="H1606" s="922" t="s">
        <v>1353</v>
      </c>
      <c r="I1606" s="942">
        <f t="shared" si="34"/>
        <v>0.25212085131716028</v>
      </c>
      <c r="J1606" s="10">
        <v>1.04</v>
      </c>
      <c r="K1606" s="700">
        <f t="shared" si="33"/>
        <v>0.26220568536984667</v>
      </c>
      <c r="L1606" s="844" t="s">
        <v>9</v>
      </c>
      <c r="M1606" s="1907"/>
      <c r="O1606" s="412"/>
      <c r="P1606" s="391"/>
      <c r="Q1606" s="393"/>
    </row>
    <row r="1607" spans="1:18" ht="30" customHeight="1" x14ac:dyDescent="0.25">
      <c r="A1607" s="24"/>
      <c r="B1607" s="701"/>
      <c r="C1607" s="701"/>
      <c r="D1607" s="701"/>
      <c r="E1607" s="326"/>
      <c r="F1607" s="845"/>
      <c r="G1607" s="846"/>
      <c r="H1607" s="846"/>
      <c r="I1607" s="10" t="s">
        <v>646</v>
      </c>
      <c r="J1607" s="326">
        <f>SUM(K1596:K1606)</f>
        <v>168.53345431645005</v>
      </c>
      <c r="K1607" s="10" t="s">
        <v>9</v>
      </c>
      <c r="L1607" s="25"/>
      <c r="M1607" s="955"/>
      <c r="N1607" s="671"/>
      <c r="O1607" s="43"/>
      <c r="P1607" s="672"/>
      <c r="Q1607" s="671"/>
      <c r="R1607" s="673"/>
    </row>
    <row r="1608" spans="1:18" ht="30" customHeight="1" x14ac:dyDescent="0.25">
      <c r="A1608" s="61"/>
      <c r="B1608" s="410"/>
      <c r="C1608" s="410"/>
      <c r="D1608" s="410"/>
      <c r="E1608" s="410"/>
      <c r="F1608" s="338" t="s">
        <v>533</v>
      </c>
      <c r="G1608" s="339" t="s">
        <v>534</v>
      </c>
      <c r="H1608" s="339"/>
      <c r="I1608" s="339"/>
      <c r="J1608" s="339"/>
      <c r="K1608" s="340">
        <v>1.08</v>
      </c>
      <c r="L1608" s="844"/>
      <c r="M1608" s="955"/>
      <c r="N1608" s="671"/>
      <c r="O1608" s="43"/>
      <c r="P1608" s="672"/>
      <c r="Q1608" s="671"/>
      <c r="R1608" s="673"/>
    </row>
    <row r="1609" spans="1:18" ht="30" customHeight="1" x14ac:dyDescent="0.25">
      <c r="A1609" s="61"/>
      <c r="B1609" s="410"/>
      <c r="C1609" s="410"/>
      <c r="D1609" s="410"/>
      <c r="E1609" s="410"/>
      <c r="F1609" s="343"/>
      <c r="G1609" s="344" t="s">
        <v>535</v>
      </c>
      <c r="H1609" s="344"/>
      <c r="I1609" s="344"/>
      <c r="J1609" s="344"/>
      <c r="K1609" s="340">
        <v>1.02</v>
      </c>
      <c r="L1609" s="844"/>
      <c r="M1609" s="1907"/>
      <c r="O1609" s="412"/>
      <c r="P1609" s="391"/>
      <c r="Q1609" s="393"/>
    </row>
    <row r="1610" spans="1:18" ht="30" customHeight="1" x14ac:dyDescent="0.25">
      <c r="A1610" s="24"/>
      <c r="B1610" s="10"/>
      <c r="C1610" s="13"/>
      <c r="D1610" s="13"/>
      <c r="E1610" s="13"/>
      <c r="F1610" s="13"/>
      <c r="G1610" s="13"/>
      <c r="H1610" s="13"/>
      <c r="I1610" s="13"/>
      <c r="J1610" s="10" t="s">
        <v>358</v>
      </c>
      <c r="K1610" s="14">
        <f>+J1607*K1608/K1609</f>
        <v>178.44718692330005</v>
      </c>
      <c r="L1610" s="10" t="s">
        <v>9</v>
      </c>
      <c r="M1610" s="43"/>
      <c r="O1610"/>
    </row>
    <row r="1611" spans="1:18" ht="30" customHeight="1" x14ac:dyDescent="0.25">
      <c r="A1611" s="24"/>
      <c r="B1611" s="10"/>
      <c r="C1611" s="13"/>
      <c r="D1611" s="13"/>
      <c r="E1611" s="13"/>
      <c r="F1611" s="556"/>
      <c r="G1611" s="13"/>
      <c r="H1611" s="13"/>
      <c r="I1611" s="969" t="s">
        <v>652</v>
      </c>
      <c r="J1611" s="361">
        <f>VLOOKUP(B1594,'Mil Cost Premiums for RUCs'!$A$4:$R$265,18,FALSE)</f>
        <v>1.1932356231980656</v>
      </c>
      <c r="K1611" s="14">
        <f>+K1610*J1611</f>
        <v>212.92954029636564</v>
      </c>
      <c r="L1611" s="10" t="s">
        <v>9</v>
      </c>
      <c r="M1611" s="1906"/>
      <c r="N1611" s="43"/>
      <c r="O1611"/>
    </row>
    <row r="1612" spans="1:18" ht="75" customHeight="1" x14ac:dyDescent="0.25">
      <c r="A1612" s="580" t="s">
        <v>538</v>
      </c>
      <c r="B1612" s="532"/>
      <c r="C1612" s="532"/>
      <c r="D1612" s="532"/>
      <c r="E1612" s="532"/>
      <c r="F1612" s="532"/>
      <c r="G1612" s="532"/>
      <c r="H1612" s="532"/>
      <c r="I1612" s="532"/>
      <c r="J1612" s="532"/>
      <c r="K1612" s="532"/>
      <c r="L1612" s="532"/>
      <c r="M1612" s="1910"/>
      <c r="O1612"/>
    </row>
    <row r="1613" spans="1:18" s="49" customFormat="1" ht="30" customHeight="1" x14ac:dyDescent="0.25">
      <c r="A1613" s="866" t="s">
        <v>539</v>
      </c>
      <c r="B1613" s="867"/>
      <c r="C1613" s="868"/>
      <c r="D1613" s="580" t="s">
        <v>1405</v>
      </c>
      <c r="E1613" s="532"/>
      <c r="F1613" s="532"/>
      <c r="G1613" s="532"/>
      <c r="H1613" s="532"/>
      <c r="I1613" s="532"/>
      <c r="J1613" s="532"/>
      <c r="K1613" s="532"/>
      <c r="L1613" s="532"/>
      <c r="M1613" s="1911"/>
      <c r="N1613" s="502"/>
    </row>
    <row r="1614" spans="1:18" ht="30" customHeight="1" x14ac:dyDescent="0.25">
      <c r="A1614" s="866" t="s">
        <v>541</v>
      </c>
      <c r="B1614" s="867"/>
      <c r="C1614" s="868"/>
      <c r="D1614" s="577" t="s">
        <v>1406</v>
      </c>
      <c r="E1614" s="578"/>
      <c r="F1614" s="578"/>
      <c r="G1614" s="578"/>
      <c r="H1614" s="578"/>
      <c r="I1614" s="578"/>
      <c r="J1614" s="578"/>
      <c r="K1614" s="578"/>
      <c r="L1614" s="578"/>
      <c r="M1614" s="1910"/>
      <c r="O1614"/>
    </row>
    <row r="1615" spans="1:18" ht="30" customHeight="1" x14ac:dyDescent="0.25">
      <c r="A1615" s="866" t="s">
        <v>543</v>
      </c>
      <c r="B1615" s="867"/>
      <c r="C1615" s="868"/>
      <c r="D1615" s="577" t="s">
        <v>1407</v>
      </c>
      <c r="E1615" s="578"/>
      <c r="F1615" s="578"/>
      <c r="G1615" s="578"/>
      <c r="H1615" s="578"/>
      <c r="I1615" s="578"/>
      <c r="J1615" s="578"/>
      <c r="K1615" s="578"/>
      <c r="L1615" s="578"/>
      <c r="M1615" s="1910"/>
      <c r="O1615"/>
    </row>
    <row r="1616" spans="1:18" ht="30" customHeight="1" x14ac:dyDescent="0.25">
      <c r="A1616" s="866" t="s">
        <v>546</v>
      </c>
      <c r="B1616" s="867"/>
      <c r="C1616" s="868"/>
      <c r="D1616" s="580" t="s">
        <v>1408</v>
      </c>
      <c r="E1616" s="532"/>
      <c r="F1616" s="532"/>
      <c r="G1616" s="532"/>
      <c r="H1616" s="532"/>
      <c r="I1616" s="532"/>
      <c r="J1616" s="532"/>
      <c r="K1616" s="532"/>
      <c r="L1616" s="532"/>
      <c r="M1616" s="1910"/>
      <c r="O1616"/>
    </row>
    <row r="1617" spans="1:18" ht="105" customHeight="1" x14ac:dyDescent="0.25">
      <c r="A1617" s="866" t="s">
        <v>548</v>
      </c>
      <c r="B1617" s="867"/>
      <c r="C1617" s="868"/>
      <c r="D1617" s="580" t="s">
        <v>1409</v>
      </c>
      <c r="E1617" s="532"/>
      <c r="F1617" s="532"/>
      <c r="G1617" s="532"/>
      <c r="H1617" s="532"/>
      <c r="I1617" s="532"/>
      <c r="J1617" s="532"/>
      <c r="K1617" s="532"/>
      <c r="L1617" s="532"/>
      <c r="M1617" s="1910"/>
      <c r="O1617"/>
    </row>
    <row r="1618" spans="1:18" ht="30" customHeight="1" x14ac:dyDescent="0.25">
      <c r="A1618" s="866" t="s">
        <v>550</v>
      </c>
      <c r="B1618" s="867"/>
      <c r="C1618" s="868"/>
      <c r="D1618" s="577" t="s">
        <v>1410</v>
      </c>
      <c r="E1618" s="578"/>
      <c r="F1618" s="578"/>
      <c r="G1618" s="578"/>
      <c r="H1618" s="578"/>
      <c r="I1618" s="578"/>
      <c r="J1618" s="578"/>
      <c r="K1618" s="578"/>
      <c r="L1618" s="578"/>
      <c r="M1618" s="1910"/>
      <c r="O1618"/>
    </row>
    <row r="1619" spans="1:18" ht="30" customHeight="1" x14ac:dyDescent="0.25">
      <c r="A1619" s="866" t="s">
        <v>552</v>
      </c>
      <c r="B1619" s="867"/>
      <c r="C1619" s="868"/>
      <c r="D1619" s="580" t="s">
        <v>699</v>
      </c>
      <c r="E1619" s="532"/>
      <c r="F1619" s="532"/>
      <c r="G1619" s="532"/>
      <c r="H1619" s="532"/>
      <c r="I1619" s="532"/>
      <c r="J1619" s="532"/>
      <c r="K1619" s="532"/>
      <c r="L1619" s="532"/>
      <c r="M1619" s="1910"/>
      <c r="O1619"/>
    </row>
    <row r="1620" spans="1:18" ht="75" customHeight="1" x14ac:dyDescent="0.25">
      <c r="A1620" s="866" t="s">
        <v>802</v>
      </c>
      <c r="B1620" s="867"/>
      <c r="C1620" s="868"/>
      <c r="D1620" s="851" t="s">
        <v>1329</v>
      </c>
      <c r="E1620" s="852"/>
      <c r="F1620" s="852"/>
      <c r="G1620" s="852"/>
      <c r="H1620" s="852"/>
      <c r="I1620" s="852"/>
      <c r="J1620" s="852"/>
      <c r="K1620" s="852"/>
      <c r="L1620" s="852"/>
      <c r="M1620" s="1910"/>
      <c r="O1620"/>
    </row>
    <row r="1621" spans="1:18" ht="75" customHeight="1" thickBot="1" x14ac:dyDescent="0.3">
      <c r="A1621" s="563" t="s">
        <v>556</v>
      </c>
      <c r="B1621" s="383"/>
      <c r="C1621" s="384"/>
      <c r="D1621" s="950" t="s">
        <v>1411</v>
      </c>
      <c r="E1621" s="951"/>
      <c r="F1621" s="951"/>
      <c r="G1621" s="951"/>
      <c r="H1621" s="951"/>
      <c r="I1621" s="951"/>
      <c r="J1621" s="951"/>
      <c r="K1621" s="951"/>
      <c r="L1621" s="951"/>
      <c r="M1621" s="1910"/>
      <c r="O1621"/>
    </row>
    <row r="1622" spans="1:18" ht="30" customHeight="1" thickBot="1" x14ac:dyDescent="0.3">
      <c r="A1622" s="76"/>
      <c r="B1622" s="77"/>
      <c r="C1622" s="77"/>
      <c r="D1622" s="77"/>
      <c r="E1622" s="77"/>
      <c r="F1622" s="77"/>
      <c r="G1622" s="77"/>
      <c r="H1622" s="77"/>
      <c r="I1622" s="77"/>
      <c r="J1622" s="77"/>
      <c r="K1622" s="77"/>
      <c r="L1622" s="78"/>
      <c r="M1622" s="1910"/>
      <c r="O1622"/>
    </row>
    <row r="1623" spans="1:18" ht="30" customHeight="1" x14ac:dyDescent="0.25">
      <c r="A1623" s="30" t="s">
        <v>288</v>
      </c>
      <c r="B1623" s="208">
        <v>2131</v>
      </c>
      <c r="C1623" s="282" t="s">
        <v>1412</v>
      </c>
      <c r="D1623" s="283"/>
      <c r="E1623" s="177" t="s">
        <v>291</v>
      </c>
      <c r="F1623" s="178" t="s">
        <v>9</v>
      </c>
      <c r="G1623" s="123" t="s">
        <v>375</v>
      </c>
      <c r="H1623" s="970">
        <v>82950</v>
      </c>
      <c r="I1623" s="177" t="s">
        <v>292</v>
      </c>
      <c r="J1623" s="38" t="s">
        <v>83</v>
      </c>
      <c r="K1623" s="38"/>
      <c r="L1623" s="389"/>
      <c r="M1623" s="1910"/>
      <c r="O1623"/>
    </row>
    <row r="1624" spans="1:18" ht="30" customHeight="1" x14ac:dyDescent="0.25">
      <c r="A1624" s="44"/>
      <c r="B1624" s="180" t="s">
        <v>295</v>
      </c>
      <c r="C1624" s="180"/>
      <c r="D1624" s="180"/>
      <c r="E1624" s="181" t="s">
        <v>821</v>
      </c>
      <c r="F1624" s="181" t="s">
        <v>2</v>
      </c>
      <c r="G1624" s="971"/>
      <c r="H1624" s="181"/>
      <c r="I1624" s="286" t="s">
        <v>520</v>
      </c>
      <c r="J1624" s="287"/>
      <c r="K1624" s="493" t="s">
        <v>521</v>
      </c>
      <c r="L1624" s="494"/>
      <c r="M1624" s="1910"/>
      <c r="O1624"/>
    </row>
    <row r="1625" spans="1:18" ht="30" customHeight="1" x14ac:dyDescent="0.25">
      <c r="A1625" s="51"/>
      <c r="B1625" s="214" t="s">
        <v>1412</v>
      </c>
      <c r="C1625" s="214"/>
      <c r="D1625" s="214"/>
      <c r="E1625" s="972">
        <v>1197.03</v>
      </c>
      <c r="F1625" s="147" t="s">
        <v>9</v>
      </c>
      <c r="G1625" s="556"/>
      <c r="H1625" s="973"/>
      <c r="I1625" s="295">
        <f>+'MILCON Inflation Table'!F7</f>
        <v>1.2632448621295054</v>
      </c>
      <c r="J1625" s="296"/>
      <c r="K1625" s="972">
        <f>+E1625*I1625</f>
        <v>1512.1419973148818</v>
      </c>
      <c r="L1625" s="147" t="s">
        <v>9</v>
      </c>
      <c r="M1625" s="1910"/>
      <c r="O1625"/>
    </row>
    <row r="1626" spans="1:18" ht="30" customHeight="1" x14ac:dyDescent="0.25">
      <c r="A1626" s="61"/>
      <c r="B1626" s="191"/>
      <c r="C1626" s="191"/>
      <c r="D1626" s="191"/>
      <c r="E1626" s="18"/>
      <c r="F1626" s="18"/>
      <c r="G1626" s="18"/>
      <c r="H1626" s="18"/>
      <c r="I1626" s="18"/>
      <c r="J1626" s="20" t="s">
        <v>358</v>
      </c>
      <c r="K1626" s="305">
        <f>+K1625</f>
        <v>1512.1419973148818</v>
      </c>
      <c r="L1626" s="20" t="s">
        <v>9</v>
      </c>
      <c r="M1626" s="955"/>
      <c r="N1626" s="671"/>
      <c r="O1626" s="43"/>
      <c r="P1626" s="672"/>
      <c r="Q1626" s="671"/>
      <c r="R1626" s="673"/>
    </row>
    <row r="1627" spans="1:18" ht="30" customHeight="1" x14ac:dyDescent="0.25">
      <c r="A1627" s="61"/>
      <c r="B1627" s="895"/>
      <c r="C1627" s="974"/>
      <c r="D1627" s="974"/>
      <c r="E1627" s="974"/>
      <c r="F1627" s="974"/>
      <c r="G1627" s="975" t="s">
        <v>1413</v>
      </c>
      <c r="H1627" s="975"/>
      <c r="I1627" s="975"/>
      <c r="J1627" s="976">
        <f>+'Mil Cost Premiums for RUCs'!R72</f>
        <v>1.1503866704650523</v>
      </c>
      <c r="K1627" s="267">
        <f>+K1626*J1627</f>
        <v>1739.547997561441</v>
      </c>
      <c r="L1627" s="61" t="s">
        <v>9</v>
      </c>
      <c r="M1627" s="955"/>
      <c r="N1627" s="671"/>
      <c r="O1627" s="43"/>
      <c r="P1627" s="672"/>
      <c r="Q1627" s="671"/>
      <c r="R1627" s="673"/>
    </row>
    <row r="1628" spans="1:18" ht="30" customHeight="1" x14ac:dyDescent="0.25">
      <c r="A1628" s="977" t="s">
        <v>1414</v>
      </c>
      <c r="B1628" s="978"/>
      <c r="C1628" s="978"/>
      <c r="D1628" s="978"/>
      <c r="E1628" s="978"/>
      <c r="F1628" s="978"/>
      <c r="G1628" s="978"/>
      <c r="H1628" s="978"/>
      <c r="I1628" s="978"/>
      <c r="J1628" s="978"/>
      <c r="K1628" s="978"/>
      <c r="L1628" s="979"/>
      <c r="M1628" s="1910"/>
      <c r="O1628"/>
    </row>
    <row r="1629" spans="1:18" ht="30" customHeight="1" x14ac:dyDescent="0.25">
      <c r="A1629" s="980"/>
      <c r="B1629" s="981"/>
      <c r="C1629" s="981"/>
      <c r="D1629" s="981"/>
      <c r="E1629" s="981"/>
      <c r="F1629" s="981"/>
      <c r="G1629" s="981"/>
      <c r="H1629" s="981"/>
      <c r="I1629" s="981"/>
      <c r="J1629" s="981"/>
      <c r="K1629" s="981"/>
      <c r="L1629" s="982"/>
      <c r="M1629" s="1910"/>
      <c r="O1629"/>
    </row>
    <row r="1630" spans="1:18" ht="30" customHeight="1" thickBot="1" x14ac:dyDescent="0.3">
      <c r="A1630" s="983"/>
      <c r="B1630" s="984"/>
      <c r="C1630" s="984"/>
      <c r="D1630" s="984"/>
      <c r="E1630" s="984"/>
      <c r="F1630" s="984"/>
      <c r="G1630" s="984"/>
      <c r="H1630" s="984"/>
      <c r="I1630" s="984"/>
      <c r="J1630" s="984"/>
      <c r="K1630" s="984"/>
      <c r="L1630" s="985"/>
      <c r="M1630" s="986"/>
      <c r="O1630"/>
    </row>
    <row r="1631" spans="1:18" ht="30" customHeight="1" thickBot="1" x14ac:dyDescent="0.3">
      <c r="A1631" s="76"/>
      <c r="B1631" s="77"/>
      <c r="C1631" s="77"/>
      <c r="D1631" s="77"/>
      <c r="E1631" s="77"/>
      <c r="F1631" s="77"/>
      <c r="G1631" s="77"/>
      <c r="H1631" s="77"/>
      <c r="I1631" s="77"/>
      <c r="J1631" s="77"/>
      <c r="K1631" s="77"/>
      <c r="L1631" s="78"/>
      <c r="M1631" s="986"/>
      <c r="O1631"/>
    </row>
    <row r="1632" spans="1:18" ht="30" customHeight="1" x14ac:dyDescent="0.25">
      <c r="A1632" s="30" t="s">
        <v>288</v>
      </c>
      <c r="B1632" s="208">
        <v>2133</v>
      </c>
      <c r="C1632" s="282" t="s">
        <v>1415</v>
      </c>
      <c r="D1632" s="283"/>
      <c r="E1632" s="177" t="s">
        <v>291</v>
      </c>
      <c r="F1632" s="178" t="s">
        <v>9</v>
      </c>
      <c r="G1632" s="123" t="s">
        <v>375</v>
      </c>
      <c r="H1632" s="761">
        <v>18722</v>
      </c>
      <c r="I1632" s="177" t="s">
        <v>292</v>
      </c>
      <c r="J1632" s="38" t="s">
        <v>516</v>
      </c>
      <c r="K1632" s="39"/>
      <c r="L1632" s="40"/>
      <c r="O1632"/>
    </row>
    <row r="1633" spans="1:21" ht="30" customHeight="1" x14ac:dyDescent="0.25">
      <c r="A1633" s="44" t="s">
        <v>517</v>
      </c>
      <c r="B1633" s="180" t="s">
        <v>295</v>
      </c>
      <c r="C1633" s="180"/>
      <c r="D1633" s="180"/>
      <c r="E1633" s="182" t="s">
        <v>518</v>
      </c>
      <c r="F1633" s="285" t="s">
        <v>519</v>
      </c>
      <c r="G1633" s="181"/>
      <c r="H1633" s="181"/>
      <c r="I1633" s="286" t="s">
        <v>520</v>
      </c>
      <c r="J1633" s="287"/>
      <c r="K1633" s="288" t="s">
        <v>521</v>
      </c>
      <c r="L1633" s="289"/>
      <c r="M1633" s="1910"/>
      <c r="O1633"/>
    </row>
    <row r="1634" spans="1:21" ht="30" customHeight="1" x14ac:dyDescent="0.25">
      <c r="A1634" s="65" t="s">
        <v>522</v>
      </c>
      <c r="B1634" s="214" t="s">
        <v>1416</v>
      </c>
      <c r="C1634" s="214"/>
      <c r="D1634" s="214"/>
      <c r="E1634" s="291">
        <v>8200</v>
      </c>
      <c r="F1634" s="292">
        <v>285</v>
      </c>
      <c r="G1634" s="293"/>
      <c r="H1634" s="294"/>
      <c r="I1634" s="295" t="s">
        <v>524</v>
      </c>
      <c r="J1634" s="296"/>
      <c r="K1634" s="292">
        <f>+F1634</f>
        <v>285</v>
      </c>
      <c r="L1634" s="290" t="s">
        <v>9</v>
      </c>
      <c r="M1634" s="986"/>
      <c r="O1634"/>
    </row>
    <row r="1635" spans="1:21" ht="30" customHeight="1" thickBot="1" x14ac:dyDescent="0.3">
      <c r="A1635" s="61"/>
      <c r="B1635" s="191"/>
      <c r="C1635" s="191"/>
      <c r="D1635" s="191"/>
      <c r="E1635" s="297"/>
      <c r="F1635" s="298"/>
      <c r="G1635" s="298"/>
      <c r="H1635" s="299"/>
      <c r="I1635" s="18"/>
      <c r="J1635" s="185" t="s">
        <v>358</v>
      </c>
      <c r="K1635" s="301">
        <f>+K1634</f>
        <v>285</v>
      </c>
      <c r="L1635" s="20" t="s">
        <v>9</v>
      </c>
      <c r="M1635" s="986"/>
      <c r="O1635"/>
    </row>
    <row r="1636" spans="1:21" ht="30" customHeight="1" thickBot="1" x14ac:dyDescent="0.3">
      <c r="A1636" s="76"/>
      <c r="B1636" s="77"/>
      <c r="C1636" s="77"/>
      <c r="D1636" s="77"/>
      <c r="E1636" s="77"/>
      <c r="F1636" s="77"/>
      <c r="G1636" s="77"/>
      <c r="H1636" s="77"/>
      <c r="I1636" s="77"/>
      <c r="J1636" s="77"/>
      <c r="K1636" s="77"/>
      <c r="L1636" s="78"/>
      <c r="M1636" s="986"/>
      <c r="O1636"/>
    </row>
    <row r="1637" spans="1:21" ht="30" customHeight="1" x14ac:dyDescent="0.25">
      <c r="A1637" s="207" t="s">
        <v>288</v>
      </c>
      <c r="B1637" s="208">
        <v>2134</v>
      </c>
      <c r="C1637" s="387" t="s">
        <v>1417</v>
      </c>
      <c r="D1637" s="773"/>
      <c r="E1637" s="177" t="s">
        <v>291</v>
      </c>
      <c r="F1637" s="178" t="s">
        <v>9</v>
      </c>
      <c r="G1637" s="123" t="s">
        <v>375</v>
      </c>
      <c r="H1637" s="539">
        <v>17876</v>
      </c>
      <c r="I1637" s="987" t="s">
        <v>292</v>
      </c>
      <c r="J1637" s="747" t="s">
        <v>883</v>
      </c>
      <c r="K1637" s="747"/>
      <c r="L1637" s="747"/>
      <c r="M1637" s="986"/>
      <c r="O1637"/>
    </row>
    <row r="1638" spans="1:21" ht="30" customHeight="1" x14ac:dyDescent="0.25">
      <c r="A1638" s="185" t="s">
        <v>529</v>
      </c>
      <c r="B1638" s="988" t="s">
        <v>560</v>
      </c>
      <c r="C1638" s="989"/>
      <c r="D1638" s="990"/>
      <c r="E1638" s="397" t="s">
        <v>519</v>
      </c>
      <c r="F1638" s="397" t="s">
        <v>561</v>
      </c>
      <c r="G1638" s="493" t="s">
        <v>562</v>
      </c>
      <c r="H1638" s="494"/>
      <c r="I1638" s="181" t="s">
        <v>1347</v>
      </c>
      <c r="J1638" s="181" t="s">
        <v>530</v>
      </c>
      <c r="K1638" s="288" t="s">
        <v>521</v>
      </c>
      <c r="L1638" s="423"/>
      <c r="M1638" s="1909"/>
      <c r="O1638"/>
    </row>
    <row r="1639" spans="1:21" ht="30" customHeight="1" x14ac:dyDescent="0.25">
      <c r="A1639" s="20" t="s">
        <v>758</v>
      </c>
      <c r="B1639" s="402" t="s">
        <v>1418</v>
      </c>
      <c r="C1639" s="403"/>
      <c r="D1639" s="404"/>
      <c r="E1639" s="991">
        <v>149.46</v>
      </c>
      <c r="F1639" s="20" t="s">
        <v>9</v>
      </c>
      <c r="G1639" s="522"/>
      <c r="H1639" s="20"/>
      <c r="I1639" s="405">
        <f>+E1639</f>
        <v>149.46</v>
      </c>
      <c r="J1639" s="20">
        <v>1.06</v>
      </c>
      <c r="K1639" s="992">
        <f>+I1639*J1639</f>
        <v>158.42760000000001</v>
      </c>
      <c r="L1639" s="993" t="s">
        <v>9</v>
      </c>
      <c r="M1639" s="986"/>
      <c r="O1639"/>
    </row>
    <row r="1640" spans="1:21" ht="30" customHeight="1" x14ac:dyDescent="0.25">
      <c r="A1640" s="20" t="s">
        <v>644</v>
      </c>
      <c r="B1640" s="402" t="s">
        <v>1419</v>
      </c>
      <c r="C1640" s="403"/>
      <c r="D1640" s="404"/>
      <c r="E1640" s="994">
        <v>3.74</v>
      </c>
      <c r="F1640" s="20" t="s">
        <v>9</v>
      </c>
      <c r="G1640" s="838"/>
      <c r="H1640" s="754"/>
      <c r="I1640" s="405">
        <f>+E1640</f>
        <v>3.74</v>
      </c>
      <c r="J1640" s="20">
        <v>1.06</v>
      </c>
      <c r="K1640" s="992">
        <f>+I1640*J1640</f>
        <v>3.9644000000000004</v>
      </c>
      <c r="L1640" s="995" t="s">
        <v>9</v>
      </c>
      <c r="O1640"/>
    </row>
    <row r="1641" spans="1:21" ht="30" customHeight="1" x14ac:dyDescent="0.25">
      <c r="A1641" s="20" t="s">
        <v>760</v>
      </c>
      <c r="B1641" s="402" t="s">
        <v>1420</v>
      </c>
      <c r="C1641" s="403"/>
      <c r="D1641" s="404"/>
      <c r="E1641" s="991">
        <v>166000</v>
      </c>
      <c r="F1641" s="730" t="s">
        <v>11</v>
      </c>
      <c r="G1641" s="996">
        <f>+H1637</f>
        <v>17876</v>
      </c>
      <c r="H1641" s="754" t="s">
        <v>1353</v>
      </c>
      <c r="I1641" s="405">
        <f>+E1641/G1641</f>
        <v>9.2861937793689862</v>
      </c>
      <c r="J1641" s="20">
        <v>1.02</v>
      </c>
      <c r="K1641" s="992">
        <f>+I1641*J1641</f>
        <v>9.471917654956366</v>
      </c>
      <c r="L1641" s="995" t="s">
        <v>9</v>
      </c>
      <c r="O1641"/>
    </row>
    <row r="1642" spans="1:21" s="49" customFormat="1" ht="30" customHeight="1" x14ac:dyDescent="0.25">
      <c r="A1642" s="20" t="s">
        <v>1421</v>
      </c>
      <c r="B1642" s="503" t="s">
        <v>1422</v>
      </c>
      <c r="C1642" s="504"/>
      <c r="D1642" s="505"/>
      <c r="E1642" s="997">
        <v>38.85</v>
      </c>
      <c r="F1642" s="730" t="s">
        <v>9</v>
      </c>
      <c r="G1642" s="838">
        <v>288</v>
      </c>
      <c r="H1642" s="754" t="s">
        <v>779</v>
      </c>
      <c r="I1642" s="405">
        <f>+E1642*G1642/H1637</f>
        <v>0.62591183710002241</v>
      </c>
      <c r="J1642" s="20">
        <v>1.06</v>
      </c>
      <c r="K1642" s="992">
        <f>+I1642*J1642</f>
        <v>0.66346654732602384</v>
      </c>
      <c r="L1642" s="995" t="s">
        <v>9</v>
      </c>
      <c r="M1642" s="502"/>
      <c r="N1642" s="502"/>
    </row>
    <row r="1643" spans="1:21" ht="30" customHeight="1" x14ac:dyDescent="0.25">
      <c r="A1643" s="20"/>
      <c r="B1643" s="919"/>
      <c r="C1643" s="920"/>
      <c r="D1643" s="750"/>
      <c r="E1643" s="405"/>
      <c r="F1643" s="838"/>
      <c r="G1643" s="754"/>
      <c r="H1643" s="20"/>
      <c r="I1643" s="20"/>
      <c r="J1643" s="405" t="s">
        <v>646</v>
      </c>
      <c r="K1643" s="992">
        <f>SUM(K1639:K1642)</f>
        <v>172.52738420228241</v>
      </c>
      <c r="L1643" s="995" t="s">
        <v>9</v>
      </c>
      <c r="O1643"/>
    </row>
    <row r="1644" spans="1:21" ht="30" customHeight="1" x14ac:dyDescent="0.25">
      <c r="A1644" s="20"/>
      <c r="B1644" s="410"/>
      <c r="C1644" s="410"/>
      <c r="D1644" s="410"/>
      <c r="E1644" s="410"/>
      <c r="F1644" s="338" t="s">
        <v>533</v>
      </c>
      <c r="G1644" s="339" t="s">
        <v>534</v>
      </c>
      <c r="H1644" s="339"/>
      <c r="I1644" s="339"/>
      <c r="J1644" s="339"/>
      <c r="K1644" s="340">
        <v>1.0900000000000001</v>
      </c>
      <c r="L1644" s="10"/>
      <c r="O1644"/>
    </row>
    <row r="1645" spans="1:21" ht="30" customHeight="1" x14ac:dyDescent="0.25">
      <c r="A1645" s="20"/>
      <c r="B1645" s="410"/>
      <c r="C1645" s="410"/>
      <c r="D1645" s="410"/>
      <c r="E1645" s="410"/>
      <c r="F1645" s="343"/>
      <c r="G1645" s="344" t="s">
        <v>535</v>
      </c>
      <c r="H1645" s="344"/>
      <c r="I1645" s="344"/>
      <c r="J1645" s="344"/>
      <c r="K1645" s="340">
        <v>1.02</v>
      </c>
      <c r="L1645" s="10"/>
      <c r="O1645"/>
    </row>
    <row r="1646" spans="1:21" ht="30" customHeight="1" x14ac:dyDescent="0.25">
      <c r="A1646" s="20"/>
      <c r="B1646" s="998"/>
      <c r="C1646" s="999"/>
      <c r="D1646" s="1000"/>
      <c r="E1646" s="18"/>
      <c r="F1646" s="18"/>
      <c r="G1646" s="18"/>
      <c r="H1646" s="18"/>
      <c r="I1646" s="18"/>
      <c r="J1646" s="23" t="s">
        <v>358</v>
      </c>
      <c r="K1646" s="992">
        <f>+K1643*K1644/K1645</f>
        <v>184.36749880439984</v>
      </c>
      <c r="L1646" s="995" t="s">
        <v>9</v>
      </c>
      <c r="O1646"/>
    </row>
    <row r="1647" spans="1:21" ht="30" customHeight="1" x14ac:dyDescent="0.25">
      <c r="A1647" s="730"/>
      <c r="B1647" s="657"/>
      <c r="C1647" s="1001"/>
      <c r="D1647" s="1001"/>
      <c r="E1647" s="1001"/>
      <c r="F1647" s="13"/>
      <c r="G1647" s="1002"/>
      <c r="H1647" s="1002"/>
      <c r="I1647" s="1003" t="s">
        <v>652</v>
      </c>
      <c r="J1647" s="361">
        <f>VLOOKUP(B1637,'Mil Cost Premiums for RUCs'!$A$4:$R$265,18,FALSE)</f>
        <v>1.12897214704308</v>
      </c>
      <c r="K1647" s="1004">
        <f>+K1646*J1647</f>
        <v>208.14577097016578</v>
      </c>
      <c r="L1647" s="995" t="s">
        <v>9</v>
      </c>
      <c r="O1647"/>
    </row>
    <row r="1648" spans="1:21" ht="75" customHeight="1" x14ac:dyDescent="0.25">
      <c r="A1648" s="386" t="s">
        <v>538</v>
      </c>
      <c r="B1648" s="849"/>
      <c r="C1648" s="849"/>
      <c r="D1648" s="849"/>
      <c r="E1648" s="849"/>
      <c r="F1648" s="849"/>
      <c r="G1648" s="849"/>
      <c r="H1648" s="849"/>
      <c r="I1648" s="849"/>
      <c r="J1648" s="849"/>
      <c r="K1648" s="849"/>
      <c r="L1648" s="850"/>
      <c r="P1648" s="43"/>
      <c r="Q1648" s="43"/>
      <c r="R1648" s="43"/>
      <c r="S1648" s="60"/>
      <c r="T1648" s="60"/>
      <c r="U1648" s="43"/>
    </row>
    <row r="1649" spans="1:21" ht="30" customHeight="1" x14ac:dyDescent="0.25">
      <c r="A1649" s="1005" t="s">
        <v>539</v>
      </c>
      <c r="B1649" s="1006"/>
      <c r="C1649" s="1007"/>
      <c r="D1649" s="386" t="s">
        <v>1423</v>
      </c>
      <c r="E1649" s="849"/>
      <c r="F1649" s="849"/>
      <c r="G1649" s="849"/>
      <c r="H1649" s="849"/>
      <c r="I1649" s="849"/>
      <c r="J1649" s="849"/>
      <c r="K1649" s="849"/>
      <c r="L1649" s="850"/>
      <c r="P1649" s="43"/>
      <c r="Q1649" s="43"/>
      <c r="R1649" s="43"/>
      <c r="S1649" s="60"/>
      <c r="T1649" s="60"/>
      <c r="U1649" s="43"/>
    </row>
    <row r="1650" spans="1:21" s="41" customFormat="1" ht="30" customHeight="1" x14ac:dyDescent="0.25">
      <c r="A1650" s="1005" t="s">
        <v>541</v>
      </c>
      <c r="B1650" s="1006"/>
      <c r="C1650" s="1007"/>
      <c r="D1650" s="386" t="s">
        <v>1424</v>
      </c>
      <c r="E1650" s="849"/>
      <c r="F1650" s="849"/>
      <c r="G1650" s="849"/>
      <c r="H1650" s="849"/>
      <c r="I1650" s="849"/>
      <c r="J1650" s="849"/>
      <c r="K1650" s="849"/>
      <c r="L1650" s="850"/>
      <c r="M1650" s="341"/>
      <c r="N1650" s="342"/>
      <c r="O1650" s="42"/>
    </row>
    <row r="1651" spans="1:21" s="49" customFormat="1" ht="30" customHeight="1" x14ac:dyDescent="0.25">
      <c r="A1651" s="1005" t="s">
        <v>543</v>
      </c>
      <c r="B1651" s="1006"/>
      <c r="C1651" s="1007"/>
      <c r="D1651" s="386" t="s">
        <v>1425</v>
      </c>
      <c r="E1651" s="849"/>
      <c r="F1651" s="849"/>
      <c r="G1651" s="849"/>
      <c r="H1651" s="849"/>
      <c r="I1651" s="849"/>
      <c r="J1651" s="849"/>
      <c r="K1651" s="849"/>
      <c r="L1651" s="850"/>
      <c r="M1651" s="502"/>
      <c r="N1651" s="502"/>
      <c r="O1651" s="27"/>
    </row>
    <row r="1652" spans="1:21" ht="30" customHeight="1" x14ac:dyDescent="0.25">
      <c r="A1652" s="1005" t="s">
        <v>546</v>
      </c>
      <c r="B1652" s="1006"/>
      <c r="C1652" s="1007"/>
      <c r="D1652" s="386" t="s">
        <v>1426</v>
      </c>
      <c r="E1652" s="849"/>
      <c r="F1652" s="849"/>
      <c r="G1652" s="849"/>
      <c r="H1652" s="849"/>
      <c r="I1652" s="849"/>
      <c r="J1652" s="849"/>
      <c r="K1652" s="849"/>
      <c r="L1652" s="850"/>
      <c r="M1652" s="1932"/>
      <c r="N1652" s="213"/>
    </row>
    <row r="1653" spans="1:21" ht="90" customHeight="1" x14ac:dyDescent="0.25">
      <c r="A1653" s="1005" t="s">
        <v>548</v>
      </c>
      <c r="B1653" s="1006"/>
      <c r="C1653" s="1007"/>
      <c r="D1653" s="386" t="s">
        <v>1427</v>
      </c>
      <c r="E1653" s="849"/>
      <c r="F1653" s="849"/>
      <c r="G1653" s="849"/>
      <c r="H1653" s="849"/>
      <c r="I1653" s="849"/>
      <c r="J1653" s="849"/>
      <c r="K1653" s="849"/>
      <c r="L1653" s="850"/>
      <c r="M1653" s="1091"/>
      <c r="N1653" s="671"/>
      <c r="O1653"/>
      <c r="P1653" s="412"/>
      <c r="Q1653" s="391"/>
      <c r="R1653" s="393"/>
    </row>
    <row r="1654" spans="1:21" ht="30" customHeight="1" x14ac:dyDescent="0.25">
      <c r="A1654" s="1008" t="s">
        <v>550</v>
      </c>
      <c r="B1654" s="1009"/>
      <c r="C1654" s="1010"/>
      <c r="D1654" s="563" t="s">
        <v>1410</v>
      </c>
      <c r="E1654" s="383"/>
      <c r="F1654" s="383"/>
      <c r="G1654" s="383"/>
      <c r="H1654" s="383"/>
      <c r="I1654" s="383"/>
      <c r="J1654" s="383"/>
      <c r="K1654" s="383"/>
      <c r="L1654" s="384"/>
      <c r="M1654" s="1912"/>
      <c r="N1654" s="671"/>
      <c r="O1654"/>
      <c r="P1654" s="412"/>
      <c r="Q1654" s="391"/>
      <c r="R1654" s="393"/>
    </row>
    <row r="1655" spans="1:21" ht="30" customHeight="1" x14ac:dyDescent="0.25">
      <c r="A1655" s="1008" t="s">
        <v>552</v>
      </c>
      <c r="B1655" s="1009"/>
      <c r="C1655" s="1010"/>
      <c r="D1655" s="563" t="s">
        <v>1252</v>
      </c>
      <c r="E1655" s="383"/>
      <c r="F1655" s="383"/>
      <c r="G1655" s="383"/>
      <c r="H1655" s="383"/>
      <c r="I1655" s="383"/>
      <c r="J1655" s="383"/>
      <c r="K1655" s="383"/>
      <c r="L1655" s="384"/>
      <c r="M1655" s="671"/>
      <c r="O1655" s="412"/>
      <c r="P1655" s="391"/>
      <c r="Q1655" s="393"/>
    </row>
    <row r="1656" spans="1:21" s="49" customFormat="1" ht="75" customHeight="1" x14ac:dyDescent="0.25">
      <c r="A1656" s="476" t="s">
        <v>553</v>
      </c>
      <c r="B1656" s="477"/>
      <c r="C1656" s="478"/>
      <c r="D1656" s="1011" t="s">
        <v>1428</v>
      </c>
      <c r="E1656" s="1012"/>
      <c r="F1656" s="1012"/>
      <c r="G1656" s="1012"/>
      <c r="H1656" s="1012"/>
      <c r="I1656" s="1012"/>
      <c r="J1656" s="1012"/>
      <c r="K1656" s="1012"/>
      <c r="L1656" s="1013"/>
      <c r="M1656" s="671"/>
      <c r="N1656" s="502"/>
      <c r="O1656" s="412"/>
      <c r="P1656" s="391"/>
      <c r="Q1656" s="393"/>
    </row>
    <row r="1657" spans="1:21" ht="68.25" customHeight="1" thickBot="1" x14ac:dyDescent="0.3">
      <c r="A1657" s="1014" t="s">
        <v>556</v>
      </c>
      <c r="B1657" s="1015"/>
      <c r="C1657" s="1016"/>
      <c r="D1657" s="960" t="s">
        <v>1429</v>
      </c>
      <c r="E1657" s="961"/>
      <c r="F1657" s="961"/>
      <c r="G1657" s="961"/>
      <c r="H1657" s="961"/>
      <c r="I1657" s="961"/>
      <c r="J1657" s="961"/>
      <c r="K1657" s="961"/>
      <c r="L1657" s="1017"/>
      <c r="M1657" s="671"/>
      <c r="O1657" s="412"/>
      <c r="P1657" s="391"/>
      <c r="Q1657" s="393"/>
    </row>
    <row r="1658" spans="1:21" ht="30" customHeight="1" thickBot="1" x14ac:dyDescent="0.3">
      <c r="A1658" s="76"/>
      <c r="B1658" s="77"/>
      <c r="C1658" s="77"/>
      <c r="D1658" s="77"/>
      <c r="E1658" s="77"/>
      <c r="F1658" s="77"/>
      <c r="G1658" s="77"/>
      <c r="H1658" s="77"/>
      <c r="I1658" s="77"/>
      <c r="J1658" s="77"/>
      <c r="K1658" s="77"/>
      <c r="L1658" s="78"/>
      <c r="M1658" s="1907"/>
      <c r="O1658" s="412"/>
      <c r="P1658" s="391"/>
      <c r="Q1658" s="393"/>
    </row>
    <row r="1659" spans="1:21" ht="30" customHeight="1" x14ac:dyDescent="0.25">
      <c r="A1659" s="30" t="s">
        <v>288</v>
      </c>
      <c r="B1659" s="31">
        <v>2135</v>
      </c>
      <c r="C1659" s="484" t="s">
        <v>1430</v>
      </c>
      <c r="D1659" s="485"/>
      <c r="E1659" s="36" t="s">
        <v>291</v>
      </c>
      <c r="F1659" s="37" t="s">
        <v>11</v>
      </c>
      <c r="G1659" s="34" t="s">
        <v>290</v>
      </c>
      <c r="H1659" s="487">
        <v>1</v>
      </c>
      <c r="I1659" s="36" t="s">
        <v>292</v>
      </c>
      <c r="J1659" s="314" t="s">
        <v>526</v>
      </c>
      <c r="K1659" s="1018"/>
      <c r="L1659" s="1019"/>
      <c r="M1659" s="1907"/>
      <c r="O1659" s="412"/>
      <c r="P1659" s="391"/>
      <c r="Q1659" s="393"/>
    </row>
    <row r="1660" spans="1:21" ht="30" customHeight="1" x14ac:dyDescent="0.25">
      <c r="A1660" s="44" t="s">
        <v>517</v>
      </c>
      <c r="B1660" s="45" t="s">
        <v>295</v>
      </c>
      <c r="C1660" s="45"/>
      <c r="D1660" s="45"/>
      <c r="E1660" s="46" t="s">
        <v>518</v>
      </c>
      <c r="F1660" s="715" t="s">
        <v>519</v>
      </c>
      <c r="G1660" s="44"/>
      <c r="H1660" s="44"/>
      <c r="I1660" s="286" t="s">
        <v>520</v>
      </c>
      <c r="J1660" s="287"/>
      <c r="K1660" s="507" t="s">
        <v>521</v>
      </c>
      <c r="L1660" s="508"/>
      <c r="M1660" s="1907"/>
      <c r="O1660" s="412"/>
      <c r="P1660" s="391"/>
      <c r="Q1660" s="393"/>
    </row>
    <row r="1661" spans="1:21" ht="30" customHeight="1" x14ac:dyDescent="0.25">
      <c r="A1661" s="61">
        <v>14962</v>
      </c>
      <c r="B1661" s="716" t="s">
        <v>805</v>
      </c>
      <c r="C1661" s="717"/>
      <c r="D1661" s="718"/>
      <c r="E1661" s="1020">
        <v>1</v>
      </c>
      <c r="F1661" s="303">
        <v>6777000</v>
      </c>
      <c r="G1661" s="785"/>
      <c r="H1661" s="1021"/>
      <c r="I1661" s="1022">
        <f>+'MILCON Inflation Table'!F15</f>
        <v>0.9813542688910698</v>
      </c>
      <c r="J1661" s="1023"/>
      <c r="K1661" s="267">
        <f>+F1661*I1661</f>
        <v>6650637.8802747801</v>
      </c>
      <c r="L1661" s="65" t="s">
        <v>9</v>
      </c>
      <c r="M1661" s="1907"/>
      <c r="O1661" s="412"/>
      <c r="P1661" s="391"/>
      <c r="Q1661" s="393"/>
    </row>
    <row r="1662" spans="1:21" ht="30" customHeight="1" thickBot="1" x14ac:dyDescent="0.3">
      <c r="A1662" s="61"/>
      <c r="B1662" s="192"/>
      <c r="C1662" s="192"/>
      <c r="D1662" s="192"/>
      <c r="E1662" s="519"/>
      <c r="F1662" s="520"/>
      <c r="G1662" s="520"/>
      <c r="H1662" s="521"/>
      <c r="I1662" s="63"/>
      <c r="J1662" s="48" t="s">
        <v>358</v>
      </c>
      <c r="K1662" s="222">
        <f>+K1661</f>
        <v>6650637.8802747801</v>
      </c>
      <c r="L1662" s="61" t="s">
        <v>9</v>
      </c>
      <c r="M1662" s="955"/>
      <c r="N1662" s="671"/>
      <c r="O1662" s="43"/>
      <c r="P1662" s="672"/>
      <c r="Q1662" s="671"/>
      <c r="R1662" s="673"/>
    </row>
    <row r="1663" spans="1:21" ht="30" customHeight="1" thickBot="1" x14ac:dyDescent="0.3">
      <c r="A1663" s="76"/>
      <c r="B1663" s="77"/>
      <c r="C1663" s="77"/>
      <c r="D1663" s="77"/>
      <c r="E1663" s="77"/>
      <c r="F1663" s="77"/>
      <c r="G1663" s="77"/>
      <c r="H1663" s="77"/>
      <c r="I1663" s="77"/>
      <c r="J1663" s="77"/>
      <c r="K1663" s="77"/>
      <c r="L1663" s="78"/>
      <c r="M1663" s="955"/>
      <c r="N1663" s="671"/>
      <c r="O1663" s="43"/>
      <c r="P1663" s="672"/>
      <c r="Q1663" s="671"/>
      <c r="R1663" s="673"/>
    </row>
    <row r="1664" spans="1:21" ht="30" customHeight="1" x14ac:dyDescent="0.25">
      <c r="A1664" s="207" t="s">
        <v>288</v>
      </c>
      <c r="B1664" s="208">
        <v>2141</v>
      </c>
      <c r="C1664" s="282" t="s">
        <v>1431</v>
      </c>
      <c r="D1664" s="283"/>
      <c r="E1664" s="177" t="s">
        <v>291</v>
      </c>
      <c r="F1664" s="178" t="s">
        <v>9</v>
      </c>
      <c r="G1664" s="123" t="s">
        <v>375</v>
      </c>
      <c r="H1664" s="16">
        <v>6907</v>
      </c>
      <c r="I1664" s="177" t="s">
        <v>292</v>
      </c>
      <c r="J1664" s="38" t="s">
        <v>516</v>
      </c>
      <c r="K1664" s="39"/>
      <c r="L1664" s="40"/>
      <c r="M1664" s="1907"/>
      <c r="O1664" s="412"/>
      <c r="P1664" s="391"/>
      <c r="Q1664" s="393"/>
    </row>
    <row r="1665" spans="1:21" ht="30" customHeight="1" x14ac:dyDescent="0.25">
      <c r="A1665" s="181" t="s">
        <v>517</v>
      </c>
      <c r="B1665" s="1024" t="s">
        <v>295</v>
      </c>
      <c r="C1665" s="874"/>
      <c r="D1665" s="875"/>
      <c r="E1665" s="182" t="s">
        <v>518</v>
      </c>
      <c r="F1665" s="285" t="s">
        <v>519</v>
      </c>
      <c r="G1665" s="181"/>
      <c r="H1665" s="181"/>
      <c r="I1665" s="286" t="s">
        <v>520</v>
      </c>
      <c r="J1665" s="287"/>
      <c r="K1665" s="288" t="s">
        <v>521</v>
      </c>
      <c r="L1665" s="289"/>
      <c r="M1665" s="1907"/>
      <c r="O1665" s="412"/>
      <c r="P1665" s="391"/>
      <c r="Q1665" s="393"/>
    </row>
    <row r="1666" spans="1:21" ht="30" customHeight="1" x14ac:dyDescent="0.25">
      <c r="A1666" s="290" t="s">
        <v>522</v>
      </c>
      <c r="B1666" s="476" t="s">
        <v>1432</v>
      </c>
      <c r="C1666" s="477"/>
      <c r="D1666" s="478"/>
      <c r="E1666" s="291">
        <v>10000</v>
      </c>
      <c r="F1666" s="292">
        <v>328</v>
      </c>
      <c r="G1666" s="293"/>
      <c r="H1666" s="294"/>
      <c r="I1666" s="295" t="s">
        <v>524</v>
      </c>
      <c r="J1666" s="296"/>
      <c r="K1666" s="292">
        <f>+F1666</f>
        <v>328</v>
      </c>
      <c r="L1666" s="290" t="s">
        <v>9</v>
      </c>
      <c r="M1666" s="434"/>
      <c r="N1666" s="420"/>
      <c r="O1666"/>
      <c r="P1666" s="412"/>
      <c r="Q1666" s="391"/>
      <c r="R1666" s="393"/>
    </row>
    <row r="1667" spans="1:21" ht="30" customHeight="1" thickBot="1" x14ac:dyDescent="0.3">
      <c r="A1667" s="20"/>
      <c r="B1667" s="402"/>
      <c r="C1667" s="403"/>
      <c r="D1667" s="404"/>
      <c r="E1667" s="297"/>
      <c r="F1667" s="298"/>
      <c r="G1667" s="298"/>
      <c r="H1667" s="299"/>
      <c r="I1667" s="18"/>
      <c r="J1667" s="185" t="s">
        <v>358</v>
      </c>
      <c r="K1667" s="301">
        <f>+K1666</f>
        <v>328</v>
      </c>
      <c r="L1667" s="20" t="s">
        <v>9</v>
      </c>
      <c r="M1667" s="434"/>
      <c r="N1667" s="420"/>
      <c r="O1667"/>
      <c r="P1667" s="412"/>
      <c r="Q1667" s="391"/>
      <c r="R1667" s="393"/>
    </row>
    <row r="1668" spans="1:21" ht="30" customHeight="1" thickBot="1" x14ac:dyDescent="0.3">
      <c r="A1668" s="76"/>
      <c r="B1668" s="77"/>
      <c r="C1668" s="77"/>
      <c r="D1668" s="77"/>
      <c r="E1668" s="77"/>
      <c r="F1668" s="77"/>
      <c r="G1668" s="77"/>
      <c r="H1668" s="77"/>
      <c r="I1668" s="77"/>
      <c r="J1668" s="77"/>
      <c r="K1668" s="77"/>
      <c r="L1668" s="78"/>
      <c r="M1668" s="434"/>
      <c r="N1668" s="420"/>
      <c r="O1668"/>
      <c r="P1668" s="412"/>
      <c r="Q1668" s="391"/>
      <c r="R1668" s="393"/>
    </row>
    <row r="1669" spans="1:21" ht="30" customHeight="1" x14ac:dyDescent="0.25">
      <c r="A1669" s="207" t="s">
        <v>288</v>
      </c>
      <c r="B1669" s="208">
        <v>2142</v>
      </c>
      <c r="C1669" s="1025" t="s">
        <v>1433</v>
      </c>
      <c r="D1669" s="1026"/>
      <c r="E1669" s="177" t="s">
        <v>291</v>
      </c>
      <c r="F1669" s="178" t="s">
        <v>9</v>
      </c>
      <c r="G1669" s="123" t="s">
        <v>375</v>
      </c>
      <c r="H1669" s="16">
        <v>31809</v>
      </c>
      <c r="I1669" s="177" t="s">
        <v>292</v>
      </c>
      <c r="J1669" s="488" t="s">
        <v>1434</v>
      </c>
      <c r="K1669" s="488"/>
      <c r="L1669" s="489"/>
      <c r="M1669" s="434"/>
      <c r="N1669" s="420"/>
      <c r="O1669"/>
      <c r="P1669" s="412"/>
      <c r="Q1669" s="391"/>
      <c r="R1669" s="393"/>
    </row>
    <row r="1670" spans="1:21" ht="30" customHeight="1" x14ac:dyDescent="0.25">
      <c r="A1670" s="181" t="s">
        <v>517</v>
      </c>
      <c r="B1670" s="1024" t="s">
        <v>295</v>
      </c>
      <c r="C1670" s="874"/>
      <c r="D1670" s="875"/>
      <c r="E1670" s="182" t="s">
        <v>518</v>
      </c>
      <c r="F1670" s="285" t="s">
        <v>519</v>
      </c>
      <c r="G1670" s="181"/>
      <c r="H1670" s="181"/>
      <c r="I1670" s="286" t="s">
        <v>520</v>
      </c>
      <c r="J1670" s="287"/>
      <c r="K1670" s="288" t="s">
        <v>521</v>
      </c>
      <c r="L1670" s="289"/>
      <c r="M1670" s="434"/>
      <c r="N1670" s="1027"/>
      <c r="O1670"/>
      <c r="P1670" s="412"/>
      <c r="Q1670" s="391"/>
      <c r="R1670" s="393"/>
    </row>
    <row r="1671" spans="1:21" ht="30" customHeight="1" x14ac:dyDescent="0.25">
      <c r="A1671" s="290" t="s">
        <v>522</v>
      </c>
      <c r="B1671" s="476" t="s">
        <v>1435</v>
      </c>
      <c r="C1671" s="477"/>
      <c r="D1671" s="478"/>
      <c r="E1671" s="291">
        <v>34000</v>
      </c>
      <c r="F1671" s="292">
        <v>258</v>
      </c>
      <c r="G1671" s="293"/>
      <c r="H1671" s="294"/>
      <c r="I1671" s="295" t="s">
        <v>524</v>
      </c>
      <c r="J1671" s="296"/>
      <c r="K1671" s="292">
        <f>+F1671</f>
        <v>258</v>
      </c>
      <c r="L1671" s="290" t="s">
        <v>9</v>
      </c>
      <c r="M1671" s="434"/>
      <c r="N1671" s="420"/>
      <c r="O1671"/>
      <c r="P1671" s="412"/>
      <c r="Q1671" s="391"/>
      <c r="R1671" s="393"/>
    </row>
    <row r="1672" spans="1:21" ht="30" customHeight="1" thickBot="1" x14ac:dyDescent="0.3">
      <c r="A1672" s="20"/>
      <c r="B1672" s="402"/>
      <c r="C1672" s="403"/>
      <c r="D1672" s="404"/>
      <c r="E1672" s="297"/>
      <c r="F1672" s="298"/>
      <c r="G1672" s="298"/>
      <c r="H1672" s="299"/>
      <c r="I1672" s="18"/>
      <c r="J1672" s="185" t="s">
        <v>358</v>
      </c>
      <c r="K1672" s="301">
        <f>+K1671</f>
        <v>258</v>
      </c>
      <c r="L1672" s="20" t="s">
        <v>9</v>
      </c>
      <c r="M1672" s="1028"/>
      <c r="N1672" s="420"/>
      <c r="O1672"/>
      <c r="P1672" s="412"/>
      <c r="Q1672" s="391"/>
      <c r="R1672" s="393"/>
    </row>
    <row r="1673" spans="1:21" ht="30" customHeight="1" thickBot="1" x14ac:dyDescent="0.3">
      <c r="A1673" s="76"/>
      <c r="B1673" s="77"/>
      <c r="C1673" s="77"/>
      <c r="D1673" s="77"/>
      <c r="E1673" s="77"/>
      <c r="F1673" s="77"/>
      <c r="G1673" s="77"/>
      <c r="H1673" s="77"/>
      <c r="I1673" s="77"/>
      <c r="J1673" s="77"/>
      <c r="K1673" s="77"/>
      <c r="L1673" s="78"/>
      <c r="M1673" s="1029"/>
      <c r="N1673" s="420"/>
      <c r="O1673"/>
      <c r="P1673" s="412"/>
      <c r="Q1673" s="391"/>
      <c r="R1673" s="393"/>
    </row>
    <row r="1674" spans="1:21" ht="30" customHeight="1" x14ac:dyDescent="0.25">
      <c r="A1674" s="207" t="s">
        <v>288</v>
      </c>
      <c r="B1674" s="208">
        <v>2143</v>
      </c>
      <c r="C1674" s="282" t="s">
        <v>1436</v>
      </c>
      <c r="D1674" s="283"/>
      <c r="E1674" s="177" t="s">
        <v>291</v>
      </c>
      <c r="F1674" s="178" t="s">
        <v>9</v>
      </c>
      <c r="G1674" s="123" t="s">
        <v>375</v>
      </c>
      <c r="H1674" s="16">
        <v>15048</v>
      </c>
      <c r="I1674" s="177" t="s">
        <v>292</v>
      </c>
      <c r="J1674" s="38" t="s">
        <v>516</v>
      </c>
      <c r="K1674" s="39"/>
      <c r="L1674" s="40"/>
      <c r="M1674" s="1030"/>
      <c r="N1674" s="420"/>
      <c r="O1674"/>
      <c r="P1674" s="412"/>
      <c r="Q1674" s="391"/>
      <c r="R1674" s="393"/>
    </row>
    <row r="1675" spans="1:21" ht="30" customHeight="1" x14ac:dyDescent="0.25">
      <c r="A1675" s="181" t="s">
        <v>517</v>
      </c>
      <c r="B1675" s="1024" t="s">
        <v>295</v>
      </c>
      <c r="C1675" s="874"/>
      <c r="D1675" s="875"/>
      <c r="E1675" s="182" t="s">
        <v>518</v>
      </c>
      <c r="F1675" s="285" t="s">
        <v>519</v>
      </c>
      <c r="G1675" s="181"/>
      <c r="H1675" s="181"/>
      <c r="I1675" s="286" t="s">
        <v>520</v>
      </c>
      <c r="J1675" s="287"/>
      <c r="K1675" s="288" t="s">
        <v>521</v>
      </c>
      <c r="L1675" s="289"/>
      <c r="M1675" s="434"/>
      <c r="P1675" s="43"/>
      <c r="Q1675" s="43"/>
      <c r="R1675" s="43"/>
      <c r="S1675" s="60"/>
      <c r="T1675" s="60"/>
      <c r="U1675" s="43"/>
    </row>
    <row r="1676" spans="1:21" ht="30" customHeight="1" x14ac:dyDescent="0.25">
      <c r="A1676" s="290" t="s">
        <v>522</v>
      </c>
      <c r="B1676" s="476" t="s">
        <v>1432</v>
      </c>
      <c r="C1676" s="477"/>
      <c r="D1676" s="478"/>
      <c r="E1676" s="291">
        <v>10000</v>
      </c>
      <c r="F1676" s="292">
        <v>328</v>
      </c>
      <c r="G1676" s="293"/>
      <c r="H1676" s="294"/>
      <c r="I1676" s="295" t="s">
        <v>524</v>
      </c>
      <c r="J1676" s="296"/>
      <c r="K1676" s="292">
        <f>+F1676</f>
        <v>328</v>
      </c>
      <c r="L1676" s="290" t="s">
        <v>9</v>
      </c>
      <c r="P1676" s="43"/>
      <c r="Q1676" s="43"/>
      <c r="R1676" s="43"/>
      <c r="S1676" s="60"/>
      <c r="T1676" s="60"/>
      <c r="U1676" s="43"/>
    </row>
    <row r="1677" spans="1:21" s="41" customFormat="1" ht="30" customHeight="1" thickBot="1" x14ac:dyDescent="0.3">
      <c r="A1677" s="20"/>
      <c r="B1677" s="402"/>
      <c r="C1677" s="403"/>
      <c r="D1677" s="404"/>
      <c r="E1677" s="297"/>
      <c r="F1677" s="298"/>
      <c r="G1677" s="298"/>
      <c r="H1677" s="299"/>
      <c r="I1677" s="18"/>
      <c r="J1677" s="185" t="s">
        <v>358</v>
      </c>
      <c r="K1677" s="301">
        <f>+K1676</f>
        <v>328</v>
      </c>
      <c r="L1677" s="20" t="s">
        <v>9</v>
      </c>
      <c r="M1677" s="341"/>
      <c r="N1677" s="342"/>
      <c r="O1677" s="42"/>
    </row>
    <row r="1678" spans="1:21" s="49" customFormat="1" ht="30" customHeight="1" thickBot="1" x14ac:dyDescent="0.3">
      <c r="A1678" s="76"/>
      <c r="B1678" s="77"/>
      <c r="C1678" s="77"/>
      <c r="D1678" s="77"/>
      <c r="E1678" s="77"/>
      <c r="F1678" s="77"/>
      <c r="G1678" s="77"/>
      <c r="H1678" s="77"/>
      <c r="I1678" s="77"/>
      <c r="J1678" s="77"/>
      <c r="K1678" s="77"/>
      <c r="L1678" s="78"/>
      <c r="M1678" s="502"/>
      <c r="N1678" s="502"/>
      <c r="O1678" s="27"/>
    </row>
    <row r="1679" spans="1:21" ht="30" customHeight="1" x14ac:dyDescent="0.25">
      <c r="A1679" s="207" t="s">
        <v>288</v>
      </c>
      <c r="B1679" s="208">
        <v>2144</v>
      </c>
      <c r="C1679" s="282" t="s">
        <v>1437</v>
      </c>
      <c r="D1679" s="283"/>
      <c r="E1679" s="177" t="s">
        <v>291</v>
      </c>
      <c r="F1679" s="178" t="s">
        <v>9</v>
      </c>
      <c r="G1679" s="123" t="s">
        <v>375</v>
      </c>
      <c r="H1679" s="16">
        <v>7572</v>
      </c>
      <c r="I1679" s="177" t="s">
        <v>292</v>
      </c>
      <c r="J1679" s="38" t="s">
        <v>516</v>
      </c>
      <c r="K1679" s="39"/>
      <c r="L1679" s="40"/>
      <c r="M1679" s="43"/>
    </row>
    <row r="1680" spans="1:21" ht="30" customHeight="1" x14ac:dyDescent="0.25">
      <c r="A1680" s="181" t="s">
        <v>517</v>
      </c>
      <c r="B1680" s="1024" t="s">
        <v>295</v>
      </c>
      <c r="C1680" s="874"/>
      <c r="D1680" s="875"/>
      <c r="E1680" s="182" t="s">
        <v>518</v>
      </c>
      <c r="F1680" s="285" t="s">
        <v>519</v>
      </c>
      <c r="G1680" s="181"/>
      <c r="H1680" s="181"/>
      <c r="I1680" s="286" t="s">
        <v>520</v>
      </c>
      <c r="J1680" s="287"/>
      <c r="K1680" s="288" t="s">
        <v>521</v>
      </c>
      <c r="L1680" s="289"/>
      <c r="P1680" s="43"/>
      <c r="Q1680" s="43"/>
      <c r="R1680" s="43"/>
      <c r="S1680" s="60"/>
      <c r="T1680" s="60"/>
      <c r="U1680" s="43"/>
    </row>
    <row r="1681" spans="1:21" ht="30" customHeight="1" x14ac:dyDescent="0.25">
      <c r="A1681" s="290" t="s">
        <v>522</v>
      </c>
      <c r="B1681" s="476" t="s">
        <v>1432</v>
      </c>
      <c r="C1681" s="477"/>
      <c r="D1681" s="478"/>
      <c r="E1681" s="291">
        <v>10000</v>
      </c>
      <c r="F1681" s="292">
        <v>328</v>
      </c>
      <c r="G1681" s="293"/>
      <c r="H1681" s="294"/>
      <c r="I1681" s="295" t="s">
        <v>524</v>
      </c>
      <c r="J1681" s="296"/>
      <c r="K1681" s="292">
        <f>+F1681</f>
        <v>328</v>
      </c>
      <c r="L1681" s="290" t="s">
        <v>9</v>
      </c>
      <c r="P1681" s="43"/>
      <c r="Q1681" s="43"/>
      <c r="R1681" s="43"/>
      <c r="S1681" s="60"/>
      <c r="T1681" s="60"/>
      <c r="U1681" s="43"/>
    </row>
    <row r="1682" spans="1:21" s="41" customFormat="1" ht="30" customHeight="1" thickBot="1" x14ac:dyDescent="0.3">
      <c r="A1682" s="20"/>
      <c r="B1682" s="402"/>
      <c r="C1682" s="403"/>
      <c r="D1682" s="404"/>
      <c r="E1682" s="297"/>
      <c r="F1682" s="298"/>
      <c r="G1682" s="298"/>
      <c r="H1682" s="299"/>
      <c r="I1682" s="18"/>
      <c r="J1682" s="185" t="s">
        <v>358</v>
      </c>
      <c r="K1682" s="301">
        <f>+K1681</f>
        <v>328</v>
      </c>
      <c r="L1682" s="20" t="s">
        <v>9</v>
      </c>
      <c r="M1682" s="341"/>
      <c r="N1682" s="342"/>
      <c r="O1682" s="42"/>
    </row>
    <row r="1683" spans="1:21" s="49" customFormat="1" ht="30" customHeight="1" thickBot="1" x14ac:dyDescent="0.3">
      <c r="A1683" s="76"/>
      <c r="B1683" s="77"/>
      <c r="C1683" s="77"/>
      <c r="D1683" s="77"/>
      <c r="E1683" s="77"/>
      <c r="F1683" s="77"/>
      <c r="G1683" s="77"/>
      <c r="H1683" s="77"/>
      <c r="I1683" s="77"/>
      <c r="J1683" s="77"/>
      <c r="K1683" s="77"/>
      <c r="L1683" s="78"/>
      <c r="M1683" s="502"/>
      <c r="N1683" s="502"/>
      <c r="O1683" s="27"/>
    </row>
    <row r="1684" spans="1:21" ht="30" customHeight="1" x14ac:dyDescent="0.25">
      <c r="A1684" s="207" t="s">
        <v>288</v>
      </c>
      <c r="B1684" s="208">
        <v>2145</v>
      </c>
      <c r="C1684" s="282" t="s">
        <v>1438</v>
      </c>
      <c r="D1684" s="283"/>
      <c r="E1684" s="177" t="s">
        <v>291</v>
      </c>
      <c r="F1684" s="178" t="s">
        <v>11</v>
      </c>
      <c r="G1684" s="123" t="s">
        <v>375</v>
      </c>
      <c r="H1684" s="302">
        <v>1</v>
      </c>
      <c r="I1684" s="177" t="s">
        <v>292</v>
      </c>
      <c r="J1684" s="38" t="s">
        <v>623</v>
      </c>
      <c r="K1684" s="39"/>
      <c r="L1684" s="40"/>
      <c r="M1684" s="43"/>
    </row>
    <row r="1685" spans="1:21" ht="30" customHeight="1" x14ac:dyDescent="0.25">
      <c r="A1685" s="181" t="s">
        <v>517</v>
      </c>
      <c r="B1685" s="1024" t="s">
        <v>295</v>
      </c>
      <c r="C1685" s="874"/>
      <c r="D1685" s="875"/>
      <c r="E1685" s="285" t="s">
        <v>519</v>
      </c>
      <c r="F1685" s="181" t="s">
        <v>518</v>
      </c>
      <c r="G1685" s="286" t="s">
        <v>2</v>
      </c>
      <c r="H1685" s="287"/>
      <c r="I1685" s="286" t="s">
        <v>520</v>
      </c>
      <c r="J1685" s="287"/>
      <c r="K1685" s="493" t="s">
        <v>521</v>
      </c>
      <c r="L1685" s="494"/>
      <c r="P1685" s="43"/>
      <c r="Q1685" s="43"/>
      <c r="R1685" s="43"/>
      <c r="S1685" s="60"/>
      <c r="T1685" s="60"/>
      <c r="U1685" s="43"/>
    </row>
    <row r="1686" spans="1:21" ht="30" customHeight="1" x14ac:dyDescent="0.25">
      <c r="A1686" s="20">
        <v>14955</v>
      </c>
      <c r="B1686" s="503" t="s">
        <v>1439</v>
      </c>
      <c r="C1686" s="504"/>
      <c r="D1686" s="505"/>
      <c r="E1686" s="405">
        <v>188000</v>
      </c>
      <c r="F1686" s="729">
        <v>1</v>
      </c>
      <c r="G1686" s="680" t="s">
        <v>11</v>
      </c>
      <c r="H1686" s="680"/>
      <c r="I1686" s="295">
        <f>+'MILCON Inflation Table'!F17</f>
        <v>0.9432470865927236</v>
      </c>
      <c r="J1686" s="296"/>
      <c r="K1686" s="304">
        <f>+E1686*I1686</f>
        <v>177330.45227943204</v>
      </c>
      <c r="L1686" s="290" t="s">
        <v>11</v>
      </c>
      <c r="P1686" s="43"/>
      <c r="Q1686" s="43"/>
      <c r="R1686" s="43"/>
      <c r="S1686" s="60"/>
      <c r="T1686" s="60"/>
      <c r="U1686" s="43"/>
    </row>
    <row r="1687" spans="1:21" s="41" customFormat="1" ht="30" customHeight="1" x14ac:dyDescent="0.25">
      <c r="A1687" s="20">
        <v>14960</v>
      </c>
      <c r="B1687" s="503" t="s">
        <v>1440</v>
      </c>
      <c r="C1687" s="504"/>
      <c r="D1687" s="505"/>
      <c r="E1687" s="405">
        <v>62680</v>
      </c>
      <c r="F1687" s="729">
        <v>1</v>
      </c>
      <c r="G1687" s="680" t="s">
        <v>11</v>
      </c>
      <c r="H1687" s="680"/>
      <c r="I1687" s="295">
        <f>+'MILCON Inflation Table'!F10</f>
        <v>1.1691837124832727</v>
      </c>
      <c r="J1687" s="296"/>
      <c r="K1687" s="304">
        <f>+E1687*I1687</f>
        <v>73284.435098451533</v>
      </c>
      <c r="L1687" s="290" t="s">
        <v>11</v>
      </c>
      <c r="M1687" s="341"/>
      <c r="N1687" s="342"/>
      <c r="O1687" s="42"/>
    </row>
    <row r="1688" spans="1:21" s="49" customFormat="1" ht="30" customHeight="1" thickBot="1" x14ac:dyDescent="0.3">
      <c r="A1688" s="20"/>
      <c r="B1688" s="503"/>
      <c r="C1688" s="504"/>
      <c r="D1688" s="505"/>
      <c r="E1688" s="465"/>
      <c r="F1688" s="763"/>
      <c r="G1688" s="465"/>
      <c r="H1688" s="764" t="s">
        <v>536</v>
      </c>
      <c r="I1688" s="18"/>
      <c r="J1688" s="185" t="s">
        <v>358</v>
      </c>
      <c r="K1688" s="305">
        <f>AVERAGE(K1686:K1687)</f>
        <v>125307.44368894178</v>
      </c>
      <c r="L1688" s="290" t="s">
        <v>11</v>
      </c>
      <c r="M1688" s="502"/>
      <c r="N1688" s="502"/>
      <c r="O1688" s="27"/>
    </row>
    <row r="1689" spans="1:21" ht="30" customHeight="1" thickBot="1" x14ac:dyDescent="0.3">
      <c r="A1689" s="76"/>
      <c r="B1689" s="77"/>
      <c r="C1689" s="77"/>
      <c r="D1689" s="77"/>
      <c r="E1689" s="77"/>
      <c r="F1689" s="77"/>
      <c r="G1689" s="77"/>
      <c r="H1689" s="77"/>
      <c r="I1689" s="77"/>
      <c r="J1689" s="77"/>
      <c r="K1689" s="77"/>
      <c r="L1689" s="78"/>
      <c r="M1689" s="1954"/>
      <c r="N1689" s="213"/>
    </row>
    <row r="1690" spans="1:21" ht="30" customHeight="1" x14ac:dyDescent="0.25">
      <c r="A1690" s="207" t="s">
        <v>288</v>
      </c>
      <c r="B1690" s="208">
        <v>2147</v>
      </c>
      <c r="C1690" s="282" t="s">
        <v>1441</v>
      </c>
      <c r="D1690" s="283"/>
      <c r="E1690" s="177" t="s">
        <v>291</v>
      </c>
      <c r="F1690" s="178" t="s">
        <v>9</v>
      </c>
      <c r="G1690" s="123" t="s">
        <v>375</v>
      </c>
      <c r="H1690" s="302">
        <v>16861</v>
      </c>
      <c r="I1690" s="177" t="s">
        <v>292</v>
      </c>
      <c r="J1690" s="38" t="s">
        <v>623</v>
      </c>
      <c r="K1690" s="39"/>
      <c r="L1690" s="40"/>
      <c r="P1690" s="43"/>
      <c r="Q1690" s="43"/>
      <c r="R1690" s="43"/>
      <c r="S1690" s="60"/>
      <c r="T1690" s="60"/>
      <c r="U1690" s="43"/>
    </row>
    <row r="1691" spans="1:21" ht="30" customHeight="1" x14ac:dyDescent="0.25">
      <c r="A1691" s="181" t="s">
        <v>517</v>
      </c>
      <c r="B1691" s="180" t="s">
        <v>295</v>
      </c>
      <c r="C1691" s="180"/>
      <c r="D1691" s="180"/>
      <c r="E1691" s="285" t="s">
        <v>519</v>
      </c>
      <c r="F1691" s="181" t="s">
        <v>518</v>
      </c>
      <c r="G1691" s="665" t="s">
        <v>2</v>
      </c>
      <c r="H1691" s="666"/>
      <c r="I1691" s="286" t="s">
        <v>520</v>
      </c>
      <c r="J1691" s="287"/>
      <c r="K1691" s="493" t="s">
        <v>521</v>
      </c>
      <c r="L1691" s="494"/>
      <c r="P1691" s="43"/>
      <c r="Q1691" s="43"/>
      <c r="R1691" s="43"/>
      <c r="S1691" s="60"/>
      <c r="T1691" s="60"/>
      <c r="U1691" s="43"/>
    </row>
    <row r="1692" spans="1:21" s="41" customFormat="1" ht="30" customHeight="1" x14ac:dyDescent="0.25">
      <c r="A1692" s="20">
        <v>21470</v>
      </c>
      <c r="B1692" s="402" t="s">
        <v>1442</v>
      </c>
      <c r="C1692" s="403"/>
      <c r="D1692" s="404"/>
      <c r="E1692" s="405">
        <v>248</v>
      </c>
      <c r="F1692" s="729">
        <v>233</v>
      </c>
      <c r="G1692" s="680" t="s">
        <v>9</v>
      </c>
      <c r="H1692" s="680"/>
      <c r="I1692" s="295">
        <f>+'MILCON Inflation Table'!F16</f>
        <v>0.96211202832457809</v>
      </c>
      <c r="J1692" s="296"/>
      <c r="K1692" s="304">
        <f>+E1692*I1692</f>
        <v>238.60378302449536</v>
      </c>
      <c r="L1692" s="290" t="s">
        <v>9</v>
      </c>
      <c r="M1692" s="341"/>
      <c r="N1692" s="342"/>
      <c r="O1692" s="42"/>
    </row>
    <row r="1693" spans="1:21" s="49" customFormat="1" ht="30" customHeight="1" x14ac:dyDescent="0.25">
      <c r="A1693" s="20">
        <v>21470</v>
      </c>
      <c r="B1693" s="402" t="s">
        <v>1443</v>
      </c>
      <c r="C1693" s="403"/>
      <c r="D1693" s="404"/>
      <c r="E1693" s="405">
        <v>315</v>
      </c>
      <c r="F1693" s="729">
        <v>200</v>
      </c>
      <c r="G1693" s="680" t="s">
        <v>9</v>
      </c>
      <c r="H1693" s="680"/>
      <c r="I1693" s="295">
        <f>+'MILCON Inflation Table'!F16</f>
        <v>0.96211202832457809</v>
      </c>
      <c r="J1693" s="296"/>
      <c r="K1693" s="304">
        <f>+E1693*I1693</f>
        <v>303.06528892224208</v>
      </c>
      <c r="L1693" s="290" t="s">
        <v>9</v>
      </c>
      <c r="M1693" s="502"/>
      <c r="N1693" s="502"/>
      <c r="O1693" s="27"/>
    </row>
    <row r="1694" spans="1:21" ht="30" customHeight="1" thickBot="1" x14ac:dyDescent="0.3">
      <c r="A1694" s="20"/>
      <c r="B1694" s="503"/>
      <c r="C1694" s="504"/>
      <c r="D1694" s="505"/>
      <c r="E1694" s="465"/>
      <c r="F1694" s="763"/>
      <c r="G1694" s="1031"/>
      <c r="H1694" s="764" t="s">
        <v>536</v>
      </c>
      <c r="I1694" s="18"/>
      <c r="J1694" s="185" t="s">
        <v>358</v>
      </c>
      <c r="K1694" s="305">
        <f>AVERAGE(K1692:K1693)</f>
        <v>270.8345359733687</v>
      </c>
      <c r="L1694" s="290" t="s">
        <v>9</v>
      </c>
      <c r="M1694" s="43"/>
    </row>
    <row r="1695" spans="1:21" ht="30" customHeight="1" thickBot="1" x14ac:dyDescent="0.3">
      <c r="A1695" s="76"/>
      <c r="B1695" s="77"/>
      <c r="C1695" s="77"/>
      <c r="D1695" s="77"/>
      <c r="E1695" s="77"/>
      <c r="F1695" s="77"/>
      <c r="G1695" s="77"/>
      <c r="H1695" s="77"/>
      <c r="I1695" s="77"/>
      <c r="J1695" s="77"/>
      <c r="K1695" s="77"/>
      <c r="L1695" s="78"/>
      <c r="P1695" s="43"/>
      <c r="Q1695" s="43"/>
      <c r="R1695" s="43"/>
      <c r="S1695" s="60"/>
      <c r="T1695" s="60"/>
      <c r="U1695" s="43"/>
    </row>
    <row r="1696" spans="1:21" ht="30" customHeight="1" x14ac:dyDescent="0.25">
      <c r="A1696" s="207" t="s">
        <v>288</v>
      </c>
      <c r="B1696" s="208">
        <v>2151</v>
      </c>
      <c r="C1696" s="282" t="s">
        <v>1444</v>
      </c>
      <c r="D1696" s="283"/>
      <c r="E1696" s="177" t="s">
        <v>291</v>
      </c>
      <c r="F1696" s="178" t="s">
        <v>9</v>
      </c>
      <c r="G1696" s="123" t="s">
        <v>375</v>
      </c>
      <c r="H1696" s="769">
        <v>10510</v>
      </c>
      <c r="I1696" s="177" t="s">
        <v>292</v>
      </c>
      <c r="J1696" s="38" t="s">
        <v>516</v>
      </c>
      <c r="K1696" s="39"/>
      <c r="L1696" s="40"/>
      <c r="P1696" s="43"/>
      <c r="Q1696" s="43"/>
      <c r="R1696" s="43"/>
      <c r="S1696" s="60"/>
      <c r="T1696" s="60"/>
      <c r="U1696" s="43"/>
    </row>
    <row r="1697" spans="1:21" s="41" customFormat="1" ht="30" customHeight="1" x14ac:dyDescent="0.25">
      <c r="A1697" s="181" t="s">
        <v>517</v>
      </c>
      <c r="B1697" s="180" t="s">
        <v>295</v>
      </c>
      <c r="C1697" s="180"/>
      <c r="D1697" s="180"/>
      <c r="E1697" s="182" t="s">
        <v>518</v>
      </c>
      <c r="F1697" s="285" t="s">
        <v>519</v>
      </c>
      <c r="G1697" s="181"/>
      <c r="H1697" s="181"/>
      <c r="I1697" s="286" t="s">
        <v>520</v>
      </c>
      <c r="J1697" s="287"/>
      <c r="K1697" s="288" t="s">
        <v>521</v>
      </c>
      <c r="L1697" s="289"/>
      <c r="M1697" s="341"/>
      <c r="N1697" s="342"/>
      <c r="O1697" s="42"/>
    </row>
    <row r="1698" spans="1:21" s="49" customFormat="1" ht="30" customHeight="1" x14ac:dyDescent="0.25">
      <c r="A1698" s="290" t="s">
        <v>522</v>
      </c>
      <c r="B1698" s="214" t="s">
        <v>1416</v>
      </c>
      <c r="C1698" s="214"/>
      <c r="D1698" s="214"/>
      <c r="E1698" s="291">
        <v>8200</v>
      </c>
      <c r="F1698" s="292">
        <v>285</v>
      </c>
      <c r="G1698" s="293"/>
      <c r="H1698" s="294"/>
      <c r="I1698" s="295" t="s">
        <v>524</v>
      </c>
      <c r="J1698" s="296"/>
      <c r="K1698" s="292">
        <f>+F1698</f>
        <v>285</v>
      </c>
      <c r="L1698" s="290" t="s">
        <v>9</v>
      </c>
      <c r="M1698" s="502"/>
      <c r="N1698" s="502"/>
      <c r="O1698" s="27"/>
    </row>
    <row r="1699" spans="1:21" ht="30" customHeight="1" thickBot="1" x14ac:dyDescent="0.3">
      <c r="A1699" s="20"/>
      <c r="B1699" s="191"/>
      <c r="C1699" s="191"/>
      <c r="D1699" s="191"/>
      <c r="E1699" s="297"/>
      <c r="F1699" s="298"/>
      <c r="G1699" s="298"/>
      <c r="H1699" s="299"/>
      <c r="I1699" s="18"/>
      <c r="J1699" s="185" t="s">
        <v>358</v>
      </c>
      <c r="K1699" s="301">
        <f>+K1698</f>
        <v>285</v>
      </c>
      <c r="L1699" s="20" t="s">
        <v>9</v>
      </c>
      <c r="M1699" s="43"/>
    </row>
    <row r="1700" spans="1:21" ht="30" customHeight="1" thickBot="1" x14ac:dyDescent="0.3">
      <c r="A1700" s="76"/>
      <c r="B1700" s="77"/>
      <c r="C1700" s="77"/>
      <c r="D1700" s="77"/>
      <c r="E1700" s="77"/>
      <c r="F1700" s="77"/>
      <c r="G1700" s="77"/>
      <c r="H1700" s="77"/>
      <c r="I1700" s="77"/>
      <c r="J1700" s="77"/>
      <c r="K1700" s="77"/>
      <c r="L1700" s="78"/>
      <c r="N1700" s="342"/>
      <c r="O1700" s="42"/>
      <c r="P1700" s="41"/>
      <c r="Q1700" s="41"/>
      <c r="R1700" s="41"/>
      <c r="S1700" s="41"/>
      <c r="T1700" s="41"/>
      <c r="U1700" s="43"/>
    </row>
    <row r="1701" spans="1:21" ht="30" customHeight="1" x14ac:dyDescent="0.25">
      <c r="A1701" s="207" t="s">
        <v>288</v>
      </c>
      <c r="B1701" s="208">
        <v>2152</v>
      </c>
      <c r="C1701" s="282" t="s">
        <v>1445</v>
      </c>
      <c r="D1701" s="283"/>
      <c r="E1701" s="177" t="s">
        <v>291</v>
      </c>
      <c r="F1701" s="178" t="s">
        <v>9</v>
      </c>
      <c r="G1701" s="123" t="s">
        <v>375</v>
      </c>
      <c r="H1701" s="1032">
        <v>12908</v>
      </c>
      <c r="I1701" s="177" t="s">
        <v>292</v>
      </c>
      <c r="J1701" s="747" t="s">
        <v>883</v>
      </c>
      <c r="K1701" s="747"/>
      <c r="L1701" s="748"/>
      <c r="N1701" s="342"/>
      <c r="O1701" s="42"/>
      <c r="P1701" s="41"/>
      <c r="Q1701" s="41"/>
      <c r="R1701" s="41"/>
      <c r="S1701" s="41"/>
      <c r="T1701" s="41"/>
      <c r="U1701" s="43"/>
    </row>
    <row r="1702" spans="1:21" s="41" customFormat="1" ht="30" customHeight="1" x14ac:dyDescent="0.25">
      <c r="A1702" s="424" t="s">
        <v>1446</v>
      </c>
      <c r="B1702" s="317" t="s">
        <v>1447</v>
      </c>
      <c r="C1702" s="318"/>
      <c r="D1702" s="319"/>
      <c r="E1702" s="424" t="s">
        <v>1448</v>
      </c>
      <c r="F1702" s="424" t="s">
        <v>561</v>
      </c>
      <c r="G1702" s="424" t="s">
        <v>1449</v>
      </c>
      <c r="H1702" s="424" t="s">
        <v>1450</v>
      </c>
      <c r="I1702" s="424" t="s">
        <v>530</v>
      </c>
      <c r="J1702" s="424"/>
      <c r="K1702" s="288" t="s">
        <v>521</v>
      </c>
      <c r="L1702" s="289"/>
      <c r="M1702" s="341"/>
      <c r="N1702" s="25"/>
      <c r="O1702" s="27"/>
      <c r="P1702"/>
      <c r="Q1702"/>
      <c r="R1702"/>
      <c r="S1702"/>
      <c r="T1702"/>
    </row>
    <row r="1703" spans="1:21" s="49" customFormat="1" ht="45" customHeight="1" x14ac:dyDescent="0.25">
      <c r="A1703" s="10" t="s">
        <v>758</v>
      </c>
      <c r="B1703" s="1033" t="s">
        <v>1451</v>
      </c>
      <c r="C1703" s="1034"/>
      <c r="D1703" s="1035"/>
      <c r="E1703" s="14">
        <f>149.46-2.29</f>
        <v>147.17000000000002</v>
      </c>
      <c r="F1703" s="10" t="s">
        <v>9</v>
      </c>
      <c r="G1703" s="352"/>
      <c r="H1703" s="14">
        <f>+E1703</f>
        <v>147.17000000000002</v>
      </c>
      <c r="I1703" s="13">
        <v>1.03</v>
      </c>
      <c r="J1703" s="13"/>
      <c r="K1703" s="14">
        <f>+H1703*I1703</f>
        <v>151.58510000000001</v>
      </c>
      <c r="L1703" s="995" t="s">
        <v>9</v>
      </c>
      <c r="M1703" s="502"/>
      <c r="N1703" s="502"/>
      <c r="O1703" s="27"/>
    </row>
    <row r="1704" spans="1:21" ht="30" customHeight="1" x14ac:dyDescent="0.25">
      <c r="A1704" s="10" t="s">
        <v>760</v>
      </c>
      <c r="B1704" s="346" t="s">
        <v>1452</v>
      </c>
      <c r="C1704" s="347"/>
      <c r="D1704" s="348"/>
      <c r="E1704" s="1036">
        <v>166000</v>
      </c>
      <c r="F1704" s="10" t="s">
        <v>11</v>
      </c>
      <c r="G1704" s="352"/>
      <c r="H1704" s="14">
        <f>+E1704/H1701</f>
        <v>12.86024171056709</v>
      </c>
      <c r="I1704" s="13">
        <v>1.02</v>
      </c>
      <c r="J1704" s="13"/>
      <c r="K1704" s="14">
        <f t="shared" ref="K1704:K1712" si="35">+H1704*I1704</f>
        <v>13.117446544778431</v>
      </c>
      <c r="L1704" s="995" t="s">
        <v>9</v>
      </c>
      <c r="P1704" s="43"/>
      <c r="Q1704" s="43"/>
      <c r="R1704" s="43"/>
      <c r="S1704" s="60"/>
      <c r="T1704" s="60"/>
    </row>
    <row r="1705" spans="1:21" ht="30" customHeight="1" x14ac:dyDescent="0.25">
      <c r="A1705" s="10" t="s">
        <v>664</v>
      </c>
      <c r="B1705" s="346" t="s">
        <v>1453</v>
      </c>
      <c r="C1705" s="347"/>
      <c r="D1705" s="348"/>
      <c r="E1705" s="14">
        <f>+(19.15+29.75)/2</f>
        <v>24.45</v>
      </c>
      <c r="F1705" s="10" t="s">
        <v>1370</v>
      </c>
      <c r="G1705" s="352">
        <v>162</v>
      </c>
      <c r="H1705" s="14">
        <f>+E1705*G1705/H1701</f>
        <v>0.30685621320111561</v>
      </c>
      <c r="I1705" s="13">
        <v>1.02</v>
      </c>
      <c r="J1705" s="13"/>
      <c r="K1705" s="14">
        <f t="shared" si="35"/>
        <v>0.31299333746513791</v>
      </c>
      <c r="L1705" s="995" t="s">
        <v>9</v>
      </c>
      <c r="M1705" s="43"/>
      <c r="P1705" s="43"/>
      <c r="Q1705" s="43"/>
      <c r="R1705" s="43"/>
      <c r="S1705" s="60"/>
      <c r="T1705" s="60"/>
    </row>
    <row r="1706" spans="1:21" ht="30" customHeight="1" x14ac:dyDescent="0.25">
      <c r="A1706" s="10" t="s">
        <v>664</v>
      </c>
      <c r="B1706" s="346" t="s">
        <v>1454</v>
      </c>
      <c r="C1706" s="347"/>
      <c r="D1706" s="348"/>
      <c r="E1706" s="946">
        <f>+(1610+2280)/2</f>
        <v>1945</v>
      </c>
      <c r="F1706" s="10" t="s">
        <v>11</v>
      </c>
      <c r="G1706" s="352">
        <v>2</v>
      </c>
      <c r="H1706" s="14">
        <f>+E1706*G1706/H1701</f>
        <v>0.30136349550666253</v>
      </c>
      <c r="I1706" s="13">
        <v>1.02</v>
      </c>
      <c r="J1706" s="13"/>
      <c r="K1706" s="14">
        <f t="shared" si="35"/>
        <v>0.30739076541679577</v>
      </c>
      <c r="L1706" s="995" t="s">
        <v>9</v>
      </c>
      <c r="N1706" s="342"/>
      <c r="O1706" s="42"/>
      <c r="P1706" s="41"/>
      <c r="Q1706" s="41"/>
      <c r="R1706" s="41"/>
      <c r="S1706" s="41"/>
      <c r="T1706" s="41"/>
      <c r="U1706" s="43"/>
    </row>
    <row r="1707" spans="1:21" ht="30" customHeight="1" x14ac:dyDescent="0.25">
      <c r="A1707" s="10" t="s">
        <v>668</v>
      </c>
      <c r="B1707" s="346" t="s">
        <v>1455</v>
      </c>
      <c r="C1707" s="347"/>
      <c r="D1707" s="348"/>
      <c r="E1707" s="14">
        <f>+(31.5+75)/2</f>
        <v>53.25</v>
      </c>
      <c r="F1707" s="10" t="s">
        <v>7</v>
      </c>
      <c r="G1707" s="352">
        <v>20</v>
      </c>
      <c r="H1707" s="14">
        <f>+E1707*G1707/H1701</f>
        <v>8.2506972420204522E-2</v>
      </c>
      <c r="I1707" s="13">
        <v>1.04</v>
      </c>
      <c r="J1707" s="13"/>
      <c r="K1707" s="14">
        <f t="shared" si="35"/>
        <v>8.5807251317012709E-2</v>
      </c>
      <c r="L1707" s="995" t="s">
        <v>9</v>
      </c>
      <c r="N1707" s="342"/>
      <c r="O1707" s="42"/>
      <c r="P1707" s="41"/>
      <c r="Q1707" s="41"/>
      <c r="R1707" s="41"/>
      <c r="S1707" s="41"/>
      <c r="T1707" s="41"/>
      <c r="U1707" s="43"/>
    </row>
    <row r="1708" spans="1:21" s="41" customFormat="1" ht="30" customHeight="1" x14ac:dyDescent="0.25">
      <c r="A1708" s="10" t="s">
        <v>668</v>
      </c>
      <c r="B1708" s="346" t="s">
        <v>1373</v>
      </c>
      <c r="C1708" s="347"/>
      <c r="D1708" s="348"/>
      <c r="E1708" s="14">
        <f>(5900+11300)/2</f>
        <v>8600</v>
      </c>
      <c r="F1708" s="10" t="s">
        <v>11</v>
      </c>
      <c r="G1708" s="352">
        <v>2</v>
      </c>
      <c r="H1708" s="14">
        <f>+E1708*G1708/H1701</f>
        <v>1.3325069724202045</v>
      </c>
      <c r="I1708" s="13">
        <v>1.04</v>
      </c>
      <c r="J1708" s="13"/>
      <c r="K1708" s="14">
        <f t="shared" si="35"/>
        <v>1.3858072513170128</v>
      </c>
      <c r="L1708" s="995" t="s">
        <v>9</v>
      </c>
      <c r="M1708" s="341"/>
      <c r="N1708" s="25"/>
      <c r="O1708" s="27"/>
      <c r="P1708"/>
      <c r="Q1708"/>
      <c r="R1708"/>
      <c r="S1708"/>
      <c r="T1708"/>
    </row>
    <row r="1709" spans="1:21" s="49" customFormat="1" ht="30" customHeight="1" x14ac:dyDescent="0.25">
      <c r="A1709" s="10" t="s">
        <v>668</v>
      </c>
      <c r="B1709" s="346" t="s">
        <v>1456</v>
      </c>
      <c r="C1709" s="347"/>
      <c r="D1709" s="348"/>
      <c r="E1709" s="14">
        <f>(605+925)/2</f>
        <v>765</v>
      </c>
      <c r="F1709" s="10" t="s">
        <v>11</v>
      </c>
      <c r="G1709" s="352">
        <v>2</v>
      </c>
      <c r="H1709" s="14">
        <f>+E1709*G1709/H1701</f>
        <v>0.11853114347691354</v>
      </c>
      <c r="I1709" s="13">
        <v>1.04</v>
      </c>
      <c r="J1709" s="13"/>
      <c r="K1709" s="14">
        <f t="shared" si="35"/>
        <v>0.12327238921599008</v>
      </c>
      <c r="L1709" s="995" t="s">
        <v>9</v>
      </c>
      <c r="M1709" s="502"/>
      <c r="N1709" s="502"/>
      <c r="O1709" s="27"/>
    </row>
    <row r="1710" spans="1:21" ht="30" customHeight="1" x14ac:dyDescent="0.25">
      <c r="A1710" s="10" t="s">
        <v>668</v>
      </c>
      <c r="B1710" s="346" t="s">
        <v>1375</v>
      </c>
      <c r="C1710" s="347"/>
      <c r="D1710" s="348"/>
      <c r="E1710" s="14">
        <f>(1060+3175)/2</f>
        <v>2117.5</v>
      </c>
      <c r="F1710" s="10" t="s">
        <v>11</v>
      </c>
      <c r="G1710" s="352">
        <v>2</v>
      </c>
      <c r="H1710" s="14">
        <f>+E1710*G1710/H1701</f>
        <v>0.32809110629067245</v>
      </c>
      <c r="I1710" s="13">
        <v>1.04</v>
      </c>
      <c r="J1710" s="13"/>
      <c r="K1710" s="14">
        <f t="shared" si="35"/>
        <v>0.34121475054229938</v>
      </c>
      <c r="L1710" s="995" t="s">
        <v>9</v>
      </c>
      <c r="P1710" s="43"/>
      <c r="Q1710" s="43"/>
      <c r="R1710" s="43"/>
      <c r="S1710" s="60"/>
      <c r="T1710" s="60"/>
    </row>
    <row r="1711" spans="1:21" ht="30" customHeight="1" x14ac:dyDescent="0.25">
      <c r="A1711" s="10" t="s">
        <v>644</v>
      </c>
      <c r="B1711" s="346" t="s">
        <v>692</v>
      </c>
      <c r="C1711" s="347"/>
      <c r="D1711" s="348"/>
      <c r="E1711" s="14">
        <v>2.86</v>
      </c>
      <c r="F1711" s="10" t="s">
        <v>9</v>
      </c>
      <c r="G1711" s="352"/>
      <c r="H1711" s="14">
        <f>+E1711</f>
        <v>2.86</v>
      </c>
      <c r="I1711" s="13">
        <v>1.03</v>
      </c>
      <c r="J1711" s="13"/>
      <c r="K1711" s="14">
        <f t="shared" si="35"/>
        <v>2.9457999999999998</v>
      </c>
      <c r="L1711" s="995" t="s">
        <v>9</v>
      </c>
      <c r="M1711" s="43"/>
      <c r="P1711" s="43"/>
      <c r="Q1711" s="43"/>
      <c r="R1711" s="43"/>
      <c r="S1711" s="60"/>
      <c r="T1711" s="60"/>
    </row>
    <row r="1712" spans="1:21" ht="30" customHeight="1" x14ac:dyDescent="0.25">
      <c r="A1712" s="10" t="s">
        <v>644</v>
      </c>
      <c r="B1712" s="346" t="s">
        <v>1320</v>
      </c>
      <c r="C1712" s="347"/>
      <c r="D1712" s="348"/>
      <c r="E1712" s="14">
        <f xml:space="preserve"> 0.53+((1.06+1.57)/2)</f>
        <v>1.845</v>
      </c>
      <c r="F1712" s="10" t="s">
        <v>9</v>
      </c>
      <c r="G1712" s="352"/>
      <c r="H1712" s="14">
        <f>+E1712</f>
        <v>1.845</v>
      </c>
      <c r="I1712" s="13">
        <v>1.03</v>
      </c>
      <c r="J1712" s="13"/>
      <c r="K1712" s="14">
        <f t="shared" si="35"/>
        <v>1.90035</v>
      </c>
      <c r="L1712" s="995" t="s">
        <v>9</v>
      </c>
      <c r="P1712" s="43"/>
      <c r="Q1712" s="43"/>
      <c r="R1712" s="43"/>
      <c r="S1712" s="60"/>
      <c r="T1712" s="60"/>
      <c r="U1712" s="43"/>
    </row>
    <row r="1713" spans="1:21" ht="30" customHeight="1" x14ac:dyDescent="0.25">
      <c r="A1713" s="10"/>
      <c r="B1713" s="1037"/>
      <c r="C1713" s="1038"/>
      <c r="D1713" s="1039"/>
      <c r="E1713" s="14"/>
      <c r="F1713" s="10"/>
      <c r="G1713" s="352"/>
      <c r="H1713" s="7"/>
      <c r="I1713" s="1040"/>
      <c r="J1713" s="1041" t="s">
        <v>578</v>
      </c>
      <c r="K1713" s="14">
        <f>SUM(K1703:K1712)</f>
        <v>172.10518229005268</v>
      </c>
      <c r="L1713" s="995" t="s">
        <v>9</v>
      </c>
      <c r="P1713" s="43"/>
      <c r="Q1713" s="43"/>
      <c r="R1713" s="43"/>
      <c r="S1713" s="60"/>
      <c r="T1713" s="60"/>
      <c r="U1713" s="43"/>
    </row>
    <row r="1714" spans="1:21" s="41" customFormat="1" ht="30" customHeight="1" x14ac:dyDescent="0.25">
      <c r="A1714" s="20"/>
      <c r="B1714" s="410"/>
      <c r="C1714" s="410"/>
      <c r="D1714" s="410"/>
      <c r="E1714" s="405"/>
      <c r="F1714" s="338" t="s">
        <v>533</v>
      </c>
      <c r="G1714" s="339" t="s">
        <v>534</v>
      </c>
      <c r="H1714" s="339"/>
      <c r="I1714" s="339"/>
      <c r="J1714" s="339"/>
      <c r="K1714" s="340">
        <v>1.08</v>
      </c>
      <c r="L1714" s="10"/>
      <c r="M1714" s="341"/>
      <c r="N1714" s="342"/>
      <c r="O1714" s="42"/>
    </row>
    <row r="1715" spans="1:21" s="49" customFormat="1" ht="30" customHeight="1" x14ac:dyDescent="0.25">
      <c r="A1715" s="20"/>
      <c r="B1715" s="410"/>
      <c r="C1715" s="410"/>
      <c r="D1715" s="410"/>
      <c r="E1715" s="405"/>
      <c r="F1715" s="343"/>
      <c r="G1715" s="344" t="s">
        <v>535</v>
      </c>
      <c r="H1715" s="344"/>
      <c r="I1715" s="344"/>
      <c r="J1715" s="344"/>
      <c r="K1715" s="340">
        <v>1.02</v>
      </c>
      <c r="L1715" s="10"/>
      <c r="M1715" s="502"/>
      <c r="N1715" s="502"/>
      <c r="O1715" s="27"/>
    </row>
    <row r="1716" spans="1:21" ht="30" customHeight="1" x14ac:dyDescent="0.25">
      <c r="A1716" s="10"/>
      <c r="B1716" s="13"/>
      <c r="C1716" s="13"/>
      <c r="D1716" s="13"/>
      <c r="E1716" s="13"/>
      <c r="F1716" s="13"/>
      <c r="G1716" s="957" t="s">
        <v>652</v>
      </c>
      <c r="H1716" s="958"/>
      <c r="I1716" s="959"/>
      <c r="J1716" s="361">
        <f>VLOOKUP(B1701,'Mil Cost Premiums for RUCs'!$A$4:$R$265,18,FALSE)</f>
        <v>1.1932356231980656</v>
      </c>
      <c r="K1716" s="326">
        <f>+K1713*K1714/K1715*J1716</f>
        <v>217.44215411875169</v>
      </c>
      <c r="L1716" s="995" t="s">
        <v>9</v>
      </c>
      <c r="M1716" s="1932"/>
      <c r="N1716" s="213"/>
    </row>
    <row r="1717" spans="1:21" ht="75" customHeight="1" x14ac:dyDescent="0.25">
      <c r="A1717" s="577" t="s">
        <v>538</v>
      </c>
      <c r="B1717" s="578"/>
      <c r="C1717" s="578"/>
      <c r="D1717" s="578"/>
      <c r="E1717" s="578"/>
      <c r="F1717" s="578"/>
      <c r="G1717" s="578"/>
      <c r="H1717" s="578"/>
      <c r="I1717" s="578"/>
      <c r="J1717" s="578"/>
      <c r="K1717" s="578"/>
      <c r="L1717" s="579"/>
      <c r="M1717" s="1067"/>
      <c r="N1717" s="420"/>
      <c r="O1717"/>
      <c r="P1717" s="412"/>
      <c r="Q1717" s="391"/>
      <c r="R1717" s="393"/>
    </row>
    <row r="1718" spans="1:21" ht="60" customHeight="1" x14ac:dyDescent="0.25">
      <c r="A1718" s="1033" t="s">
        <v>539</v>
      </c>
      <c r="B1718" s="1034"/>
      <c r="C1718" s="1035"/>
      <c r="D1718" s="577" t="s">
        <v>1457</v>
      </c>
      <c r="E1718" s="578"/>
      <c r="F1718" s="578"/>
      <c r="G1718" s="578"/>
      <c r="H1718" s="578"/>
      <c r="I1718" s="578"/>
      <c r="J1718" s="578"/>
      <c r="K1718" s="578"/>
      <c r="L1718" s="579"/>
      <c r="O1718" s="805"/>
      <c r="P1718" s="391"/>
      <c r="T1718" s="393"/>
    </row>
    <row r="1719" spans="1:21" s="41" customFormat="1" ht="60" customHeight="1" x14ac:dyDescent="0.25">
      <c r="A1719" s="1033" t="s">
        <v>541</v>
      </c>
      <c r="B1719" s="1034"/>
      <c r="C1719" s="1035"/>
      <c r="D1719" s="577" t="s">
        <v>1458</v>
      </c>
      <c r="E1719" s="578"/>
      <c r="F1719" s="578"/>
      <c r="G1719" s="578"/>
      <c r="H1719" s="578"/>
      <c r="I1719" s="578"/>
      <c r="J1719" s="578"/>
      <c r="K1719" s="578"/>
      <c r="L1719" s="579"/>
      <c r="M1719" s="341"/>
      <c r="N1719" s="341"/>
      <c r="O1719" s="1042"/>
      <c r="P1719" s="662"/>
      <c r="T1719" s="1043"/>
    </row>
    <row r="1720" spans="1:21" s="49" customFormat="1" ht="30" customHeight="1" x14ac:dyDescent="0.25">
      <c r="A1720" s="1033" t="s">
        <v>543</v>
      </c>
      <c r="B1720" s="1034"/>
      <c r="C1720" s="1035"/>
      <c r="D1720" s="577" t="s">
        <v>1459</v>
      </c>
      <c r="E1720" s="578"/>
      <c r="F1720" s="578"/>
      <c r="G1720" s="578"/>
      <c r="H1720" s="578"/>
      <c r="I1720" s="578"/>
      <c r="J1720" s="578"/>
      <c r="K1720" s="578"/>
      <c r="L1720" s="579"/>
      <c r="M1720" s="502"/>
      <c r="N1720" s="502"/>
      <c r="O1720" s="816"/>
      <c r="P1720" s="391"/>
      <c r="T1720" s="393"/>
    </row>
    <row r="1721" spans="1:21" ht="45" customHeight="1" x14ac:dyDescent="0.25">
      <c r="A1721" s="1044" t="s">
        <v>546</v>
      </c>
      <c r="B1721" s="1045"/>
      <c r="C1721" s="1046"/>
      <c r="D1721" s="580" t="s">
        <v>1460</v>
      </c>
      <c r="E1721" s="532"/>
      <c r="F1721" s="532"/>
      <c r="G1721" s="532"/>
      <c r="H1721" s="532"/>
      <c r="I1721" s="532"/>
      <c r="J1721" s="532"/>
      <c r="K1721" s="532"/>
      <c r="L1721" s="533"/>
      <c r="O1721" s="805"/>
      <c r="P1721" s="391"/>
      <c r="T1721" s="393"/>
    </row>
    <row r="1722" spans="1:21" ht="60" customHeight="1" x14ac:dyDescent="0.25">
      <c r="A1722" s="1044" t="s">
        <v>548</v>
      </c>
      <c r="B1722" s="1045"/>
      <c r="C1722" s="1046"/>
      <c r="D1722" s="580" t="s">
        <v>1461</v>
      </c>
      <c r="E1722" s="532"/>
      <c r="F1722" s="532"/>
      <c r="G1722" s="532"/>
      <c r="H1722" s="532"/>
      <c r="I1722" s="532"/>
      <c r="J1722" s="532"/>
      <c r="K1722" s="532"/>
      <c r="L1722" s="533"/>
      <c r="O1722" s="805"/>
      <c r="P1722" s="391"/>
      <c r="T1722" s="393"/>
    </row>
    <row r="1723" spans="1:21" ht="30" customHeight="1" x14ac:dyDescent="0.25">
      <c r="A1723" s="1044" t="s">
        <v>550</v>
      </c>
      <c r="B1723" s="1045"/>
      <c r="C1723" s="1046"/>
      <c r="D1723" s="580" t="s">
        <v>1462</v>
      </c>
      <c r="E1723" s="532"/>
      <c r="F1723" s="532"/>
      <c r="G1723" s="532"/>
      <c r="H1723" s="532"/>
      <c r="I1723" s="532"/>
      <c r="J1723" s="532"/>
      <c r="K1723" s="532"/>
      <c r="L1723" s="533"/>
      <c r="O1723" s="805"/>
      <c r="P1723" s="391"/>
      <c r="T1723" s="393"/>
    </row>
    <row r="1724" spans="1:21" ht="30" customHeight="1" x14ac:dyDescent="0.25">
      <c r="A1724" s="1044" t="s">
        <v>552</v>
      </c>
      <c r="B1724" s="1045"/>
      <c r="C1724" s="1046"/>
      <c r="D1724" s="580" t="s">
        <v>1030</v>
      </c>
      <c r="E1724" s="532"/>
      <c r="F1724" s="532"/>
      <c r="G1724" s="532"/>
      <c r="H1724" s="532"/>
      <c r="I1724" s="532"/>
      <c r="J1724" s="532"/>
      <c r="K1724" s="532"/>
      <c r="L1724" s="533"/>
      <c r="O1724" s="805"/>
      <c r="P1724" s="391"/>
      <c r="T1724" s="393"/>
    </row>
    <row r="1725" spans="1:21" ht="60" customHeight="1" x14ac:dyDescent="0.25">
      <c r="A1725" s="1044" t="s">
        <v>553</v>
      </c>
      <c r="B1725" s="1045"/>
      <c r="C1725" s="1046"/>
      <c r="D1725" s="1047" t="s">
        <v>1463</v>
      </c>
      <c r="E1725" s="1048"/>
      <c r="F1725" s="1048"/>
      <c r="G1725" s="1048"/>
      <c r="H1725" s="1048"/>
      <c r="I1725" s="1048"/>
      <c r="J1725" s="1048"/>
      <c r="K1725" s="1048"/>
      <c r="L1725" s="1049"/>
      <c r="O1725" s="805"/>
      <c r="P1725" s="391"/>
      <c r="T1725" s="393"/>
    </row>
    <row r="1726" spans="1:21" ht="90" customHeight="1" thickBot="1" x14ac:dyDescent="0.3">
      <c r="A1726" s="1044" t="s">
        <v>556</v>
      </c>
      <c r="B1726" s="1045"/>
      <c r="C1726" s="1046"/>
      <c r="D1726" s="577" t="s">
        <v>1464</v>
      </c>
      <c r="E1726" s="578"/>
      <c r="F1726" s="578"/>
      <c r="G1726" s="578"/>
      <c r="H1726" s="578"/>
      <c r="I1726" s="578"/>
      <c r="J1726" s="578"/>
      <c r="K1726" s="578"/>
      <c r="L1726" s="579"/>
      <c r="O1726" s="805"/>
      <c r="P1726" s="391"/>
      <c r="T1726" s="393"/>
    </row>
    <row r="1727" spans="1:21" ht="30" customHeight="1" thickBot="1" x14ac:dyDescent="0.3">
      <c r="A1727" s="76"/>
      <c r="B1727" s="77"/>
      <c r="C1727" s="77"/>
      <c r="D1727" s="77"/>
      <c r="E1727" s="77"/>
      <c r="F1727" s="77"/>
      <c r="G1727" s="77"/>
      <c r="H1727" s="77"/>
      <c r="I1727" s="77"/>
      <c r="J1727" s="77"/>
      <c r="K1727" s="77"/>
      <c r="L1727" s="78"/>
      <c r="O1727" s="805"/>
      <c r="P1727" s="391"/>
      <c r="T1727" s="393"/>
    </row>
    <row r="1728" spans="1:21" ht="30" customHeight="1" x14ac:dyDescent="0.25">
      <c r="A1728" s="207" t="s">
        <v>288</v>
      </c>
      <c r="B1728" s="208">
        <v>2154</v>
      </c>
      <c r="C1728" s="1050" t="s">
        <v>1465</v>
      </c>
      <c r="D1728" s="1050"/>
      <c r="E1728" s="177" t="s">
        <v>291</v>
      </c>
      <c r="F1728" s="178" t="s">
        <v>9</v>
      </c>
      <c r="G1728" s="123" t="s">
        <v>375</v>
      </c>
      <c r="H1728" s="1051">
        <v>11273</v>
      </c>
      <c r="I1728" s="177" t="s">
        <v>292</v>
      </c>
      <c r="J1728" s="747" t="s">
        <v>883</v>
      </c>
      <c r="K1728" s="747"/>
      <c r="L1728" s="748"/>
      <c r="O1728" s="805"/>
      <c r="P1728" s="391"/>
      <c r="T1728" s="393"/>
    </row>
    <row r="1729" spans="1:20" ht="30" customHeight="1" x14ac:dyDescent="0.25">
      <c r="A1729" s="185" t="s">
        <v>529</v>
      </c>
      <c r="B1729" s="1052" t="s">
        <v>560</v>
      </c>
      <c r="C1729" s="1052"/>
      <c r="D1729" s="1052"/>
      <c r="E1729" s="185" t="s">
        <v>519</v>
      </c>
      <c r="F1729" s="185" t="s">
        <v>561</v>
      </c>
      <c r="G1729" s="1053" t="s">
        <v>562</v>
      </c>
      <c r="H1729" s="1053"/>
      <c r="I1729" s="181" t="s">
        <v>530</v>
      </c>
      <c r="J1729" s="181"/>
      <c r="K1729" s="288" t="s">
        <v>521</v>
      </c>
      <c r="L1729" s="289"/>
      <c r="O1729" s="805"/>
      <c r="P1729" s="391"/>
      <c r="T1729" s="393"/>
    </row>
    <row r="1730" spans="1:20" ht="45" customHeight="1" x14ac:dyDescent="0.25">
      <c r="A1730" s="20" t="s">
        <v>758</v>
      </c>
      <c r="B1730" s="1033" t="s">
        <v>1466</v>
      </c>
      <c r="C1730" s="1034"/>
      <c r="D1730" s="1035"/>
      <c r="E1730" s="405">
        <f>149.46-2.29</f>
        <v>147.17000000000002</v>
      </c>
      <c r="F1730" s="20" t="s">
        <v>9</v>
      </c>
      <c r="G1730" s="522"/>
      <c r="H1730" s="20"/>
      <c r="I1730" s="20">
        <v>1.03</v>
      </c>
      <c r="J1730" s="20"/>
      <c r="K1730" s="405">
        <f>+E1730*I1730</f>
        <v>151.58510000000001</v>
      </c>
      <c r="L1730" s="20" t="s">
        <v>9</v>
      </c>
      <c r="O1730" s="805"/>
      <c r="P1730" s="391"/>
      <c r="T1730" s="393"/>
    </row>
    <row r="1731" spans="1:20" ht="30" customHeight="1" x14ac:dyDescent="0.25">
      <c r="A1731" s="20" t="s">
        <v>760</v>
      </c>
      <c r="B1731" s="191" t="s">
        <v>1467</v>
      </c>
      <c r="C1731" s="191"/>
      <c r="D1731" s="191"/>
      <c r="E1731" s="23">
        <v>132000</v>
      </c>
      <c r="F1731" s="20" t="s">
        <v>11</v>
      </c>
      <c r="G1731" s="1054">
        <f>+H1728</f>
        <v>11273</v>
      </c>
      <c r="H1731" s="754" t="s">
        <v>1468</v>
      </c>
      <c r="I1731" s="20">
        <v>1.02</v>
      </c>
      <c r="J1731" s="20"/>
      <c r="K1731" s="405">
        <f>+(E1731/G1731)*I1731</f>
        <v>11.943582010112658</v>
      </c>
      <c r="L1731" s="20" t="s">
        <v>9</v>
      </c>
      <c r="O1731" s="805"/>
      <c r="P1731" s="391"/>
      <c r="T1731" s="393"/>
    </row>
    <row r="1732" spans="1:20" ht="30" customHeight="1" x14ac:dyDescent="0.25">
      <c r="A1732" s="20" t="s">
        <v>644</v>
      </c>
      <c r="B1732" s="191" t="s">
        <v>1469</v>
      </c>
      <c r="C1732" s="191"/>
      <c r="D1732" s="191"/>
      <c r="E1732" s="405">
        <v>3.06</v>
      </c>
      <c r="F1732" s="20" t="s">
        <v>9</v>
      </c>
      <c r="G1732" s="838"/>
      <c r="H1732" s="754"/>
      <c r="I1732" s="20">
        <v>1.03</v>
      </c>
      <c r="J1732" s="20"/>
      <c r="K1732" s="405">
        <f>+E1732*I1732</f>
        <v>3.1518000000000002</v>
      </c>
      <c r="L1732" s="20" t="s">
        <v>9</v>
      </c>
      <c r="M1732" s="670"/>
      <c r="N1732" s="671"/>
      <c r="O1732" s="43"/>
      <c r="P1732" s="672"/>
      <c r="Q1732" s="671"/>
      <c r="R1732" s="673"/>
    </row>
    <row r="1733" spans="1:20" ht="30" customHeight="1" x14ac:dyDescent="0.25">
      <c r="A1733" s="20"/>
      <c r="B1733" s="191" t="s">
        <v>1470</v>
      </c>
      <c r="C1733" s="191"/>
      <c r="D1733" s="191"/>
      <c r="E1733" s="405"/>
      <c r="F1733" s="20"/>
      <c r="G1733" s="838"/>
      <c r="H1733" s="754"/>
      <c r="I1733" s="20"/>
      <c r="J1733" s="20" t="s">
        <v>578</v>
      </c>
      <c r="K1733" s="405">
        <f>SUM(K1730:K1732)</f>
        <v>166.68048201011268</v>
      </c>
      <c r="L1733" s="20" t="s">
        <v>9</v>
      </c>
      <c r="M1733" s="670"/>
      <c r="N1733" s="671"/>
      <c r="O1733" s="43"/>
      <c r="P1733" s="672"/>
      <c r="Q1733" s="671"/>
      <c r="R1733" s="673"/>
    </row>
    <row r="1734" spans="1:20" ht="30" customHeight="1" x14ac:dyDescent="0.25">
      <c r="A1734" s="20"/>
      <c r="B1734" s="503"/>
      <c r="C1734" s="504"/>
      <c r="D1734" s="505"/>
      <c r="E1734" s="405"/>
      <c r="F1734" s="338" t="s">
        <v>533</v>
      </c>
      <c r="G1734" s="339" t="s">
        <v>534</v>
      </c>
      <c r="H1734" s="339"/>
      <c r="I1734" s="339"/>
      <c r="J1734" s="339"/>
      <c r="K1734" s="340">
        <v>1.08</v>
      </c>
      <c r="L1734" s="10"/>
      <c r="M1734" s="1067"/>
      <c r="N1734" s="420"/>
      <c r="O1734"/>
      <c r="P1734" s="412"/>
      <c r="Q1734" s="391"/>
      <c r="R1734" s="393"/>
    </row>
    <row r="1735" spans="1:20" ht="30" customHeight="1" x14ac:dyDescent="0.25">
      <c r="A1735" s="20"/>
      <c r="B1735" s="410"/>
      <c r="C1735" s="410"/>
      <c r="D1735" s="410"/>
      <c r="E1735" s="405"/>
      <c r="F1735" s="343"/>
      <c r="G1735" s="344" t="s">
        <v>535</v>
      </c>
      <c r="H1735" s="344"/>
      <c r="I1735" s="344"/>
      <c r="J1735" s="344"/>
      <c r="K1735" s="340">
        <v>1.02</v>
      </c>
      <c r="L1735" s="10"/>
      <c r="M1735" s="1067"/>
      <c r="N1735" s="420"/>
      <c r="O1735"/>
      <c r="P1735" s="412"/>
      <c r="Q1735" s="391"/>
      <c r="R1735" s="393"/>
    </row>
    <row r="1736" spans="1:20" ht="30" customHeight="1" x14ac:dyDescent="0.25">
      <c r="A1736" s="20"/>
      <c r="B1736" s="20"/>
      <c r="C1736" s="18"/>
      <c r="D1736" s="18"/>
      <c r="E1736" s="18"/>
      <c r="F1736" s="18"/>
      <c r="G1736" s="18"/>
      <c r="H1736" s="18"/>
      <c r="I1736" s="18"/>
      <c r="J1736" s="18" t="s">
        <v>358</v>
      </c>
      <c r="K1736" s="23">
        <f>+K1733*K1734/K1735</f>
        <v>176.48521624600167</v>
      </c>
      <c r="L1736" s="20" t="s">
        <v>9</v>
      </c>
      <c r="M1736" s="1067"/>
      <c r="N1736" s="420"/>
      <c r="O1736"/>
      <c r="P1736" s="412"/>
      <c r="Q1736" s="391"/>
      <c r="R1736" s="393"/>
    </row>
    <row r="1737" spans="1:20" ht="30" customHeight="1" thickBot="1" x14ac:dyDescent="0.3">
      <c r="A1737" s="20"/>
      <c r="B1737" s="20"/>
      <c r="C1737" s="18"/>
      <c r="D1737" s="18"/>
      <c r="E1737" s="18"/>
      <c r="F1737" s="18"/>
      <c r="G1737" s="413" t="s">
        <v>537</v>
      </c>
      <c r="H1737" s="18"/>
      <c r="I1737" s="18"/>
      <c r="J1737" s="361">
        <f>VLOOKUP(B1728,'Mil Cost Premiums for RUCs'!$A$4:$R$265,18,FALSE)</f>
        <v>1.1561386038173773</v>
      </c>
      <c r="K1737" s="23">
        <f>+K1736*J1737</f>
        <v>204.04137150506028</v>
      </c>
      <c r="L1737" s="20" t="s">
        <v>9</v>
      </c>
      <c r="M1737" s="1067"/>
      <c r="N1737" s="420"/>
      <c r="O1737"/>
      <c r="P1737" s="412"/>
      <c r="Q1737" s="391"/>
      <c r="R1737" s="393"/>
    </row>
    <row r="1738" spans="1:20" ht="30" customHeight="1" thickBot="1" x14ac:dyDescent="0.3">
      <c r="A1738" s="76"/>
      <c r="B1738" s="77"/>
      <c r="C1738" s="77"/>
      <c r="D1738" s="77"/>
      <c r="E1738" s="77"/>
      <c r="F1738" s="77"/>
      <c r="G1738" s="77"/>
      <c r="H1738" s="77"/>
      <c r="I1738" s="77"/>
      <c r="J1738" s="77"/>
      <c r="K1738" s="77"/>
      <c r="L1738" s="78"/>
      <c r="M1738" s="1067"/>
      <c r="N1738" s="420"/>
      <c r="O1738"/>
      <c r="P1738" s="412"/>
      <c r="Q1738" s="391"/>
      <c r="R1738" s="393"/>
    </row>
    <row r="1739" spans="1:20" ht="30" customHeight="1" x14ac:dyDescent="0.25">
      <c r="A1739" s="417" t="s">
        <v>288</v>
      </c>
      <c r="B1739" s="418">
        <v>2161</v>
      </c>
      <c r="C1739" s="415" t="s">
        <v>1471</v>
      </c>
      <c r="D1739" s="416"/>
      <c r="E1739" s="540" t="s">
        <v>291</v>
      </c>
      <c r="F1739" s="541" t="s">
        <v>9</v>
      </c>
      <c r="G1739" s="123" t="s">
        <v>375</v>
      </c>
      <c r="H1739" s="542">
        <v>8782</v>
      </c>
      <c r="I1739" s="540" t="s">
        <v>292</v>
      </c>
      <c r="J1739" s="747" t="s">
        <v>883</v>
      </c>
      <c r="K1739" s="747"/>
      <c r="L1739" s="748"/>
      <c r="M1739" s="1067"/>
      <c r="N1739" s="420"/>
      <c r="O1739"/>
      <c r="P1739" s="412"/>
      <c r="Q1739" s="391"/>
      <c r="R1739" s="393"/>
    </row>
    <row r="1740" spans="1:20" ht="30" customHeight="1" x14ac:dyDescent="0.25">
      <c r="A1740" s="421" t="s">
        <v>529</v>
      </c>
      <c r="B1740" s="543" t="s">
        <v>560</v>
      </c>
      <c r="C1740" s="544"/>
      <c r="D1740" s="545"/>
      <c r="E1740" s="546" t="s">
        <v>519</v>
      </c>
      <c r="F1740" s="546" t="s">
        <v>561</v>
      </c>
      <c r="G1740" s="547" t="s">
        <v>562</v>
      </c>
      <c r="H1740" s="548"/>
      <c r="I1740" s="424" t="s">
        <v>530</v>
      </c>
      <c r="J1740" s="424"/>
      <c r="K1740" s="288" t="s">
        <v>521</v>
      </c>
      <c r="L1740" s="289"/>
      <c r="M1740" s="1067"/>
      <c r="N1740" s="420"/>
      <c r="O1740"/>
      <c r="P1740" s="412"/>
      <c r="Q1740" s="391"/>
      <c r="R1740" s="393"/>
    </row>
    <row r="1741" spans="1:20" ht="45" customHeight="1" x14ac:dyDescent="0.25">
      <c r="A1741" s="10" t="s">
        <v>758</v>
      </c>
      <c r="B1741" s="1033" t="s">
        <v>1466</v>
      </c>
      <c r="C1741" s="1034"/>
      <c r="D1741" s="1035"/>
      <c r="E1741" s="326">
        <f>149.46-2.29</f>
        <v>147.17000000000002</v>
      </c>
      <c r="F1741" s="10" t="s">
        <v>9</v>
      </c>
      <c r="G1741" s="1055"/>
      <c r="H1741" s="10"/>
      <c r="I1741" s="10">
        <v>1.03</v>
      </c>
      <c r="J1741" s="10"/>
      <c r="K1741" s="326">
        <f>+E1741*I1741</f>
        <v>151.58510000000001</v>
      </c>
      <c r="L1741" s="10" t="s">
        <v>9</v>
      </c>
      <c r="M1741" s="1067"/>
      <c r="N1741" s="420"/>
      <c r="O1741"/>
      <c r="P1741" s="412"/>
      <c r="Q1741" s="391"/>
      <c r="R1741" s="393"/>
    </row>
    <row r="1742" spans="1:20" ht="30" customHeight="1" x14ac:dyDescent="0.25">
      <c r="A1742" s="10" t="s">
        <v>760</v>
      </c>
      <c r="B1742" s="346" t="s">
        <v>1472</v>
      </c>
      <c r="C1742" s="347"/>
      <c r="D1742" s="348"/>
      <c r="E1742" s="12">
        <v>118000</v>
      </c>
      <c r="F1742" s="1056" t="s">
        <v>1473</v>
      </c>
      <c r="G1742" s="1057">
        <f>+H1739</f>
        <v>8782</v>
      </c>
      <c r="H1742" s="846" t="s">
        <v>1468</v>
      </c>
      <c r="I1742" s="10">
        <v>1.02</v>
      </c>
      <c r="J1742" s="10"/>
      <c r="K1742" s="326">
        <f>+(E1742)/H1739*I1742</f>
        <v>13.705306308358004</v>
      </c>
      <c r="L1742" s="10" t="s">
        <v>9</v>
      </c>
      <c r="M1742" s="1067"/>
      <c r="N1742" s="420"/>
      <c r="O1742"/>
      <c r="P1742" s="412"/>
      <c r="Q1742" s="391"/>
      <c r="R1742" s="393"/>
    </row>
    <row r="1743" spans="1:20" ht="30" customHeight="1" x14ac:dyDescent="0.25">
      <c r="A1743" s="10" t="s">
        <v>1421</v>
      </c>
      <c r="B1743" s="346" t="s">
        <v>1474</v>
      </c>
      <c r="C1743" s="347"/>
      <c r="D1743" s="348"/>
      <c r="E1743" s="14">
        <v>38.85</v>
      </c>
      <c r="F1743" s="10" t="s">
        <v>1475</v>
      </c>
      <c r="G1743" s="971">
        <f>144/H1739</f>
        <v>1.6397176041903893E-2</v>
      </c>
      <c r="H1743" s="846" t="s">
        <v>1476</v>
      </c>
      <c r="I1743" s="10">
        <v>1.03</v>
      </c>
      <c r="J1743" s="10"/>
      <c r="K1743" s="326">
        <f>+E1743*G1743*I1743</f>
        <v>0.65614119790480518</v>
      </c>
      <c r="L1743" s="10" t="s">
        <v>9</v>
      </c>
      <c r="M1743" s="1067"/>
      <c r="N1743" s="420"/>
      <c r="O1743"/>
      <c r="P1743" s="412"/>
      <c r="Q1743" s="391"/>
      <c r="R1743" s="393"/>
    </row>
    <row r="1744" spans="1:20" ht="30" customHeight="1" x14ac:dyDescent="0.25">
      <c r="A1744" s="10" t="s">
        <v>644</v>
      </c>
      <c r="B1744" s="346" t="s">
        <v>1477</v>
      </c>
      <c r="C1744" s="347"/>
      <c r="D1744" s="348"/>
      <c r="E1744" s="326">
        <v>3.4</v>
      </c>
      <c r="F1744" s="844" t="s">
        <v>9</v>
      </c>
      <c r="G1744" s="845"/>
      <c r="H1744" s="846"/>
      <c r="I1744" s="10">
        <v>1.03</v>
      </c>
      <c r="J1744" s="10"/>
      <c r="K1744" s="326">
        <f>+E1744*I1744</f>
        <v>3.5019999999999998</v>
      </c>
      <c r="L1744" s="10" t="s">
        <v>9</v>
      </c>
      <c r="M1744" s="1067"/>
      <c r="N1744" s="420"/>
      <c r="O1744"/>
      <c r="P1744" s="412"/>
      <c r="Q1744" s="391"/>
      <c r="R1744" s="393"/>
    </row>
    <row r="1745" spans="1:18" ht="30" customHeight="1" x14ac:dyDescent="0.25">
      <c r="A1745" s="10" t="s">
        <v>644</v>
      </c>
      <c r="B1745" s="346" t="s">
        <v>1478</v>
      </c>
      <c r="C1745" s="347"/>
      <c r="D1745" s="348"/>
      <c r="E1745" s="326">
        <f>+E1744*0.15</f>
        <v>0.51</v>
      </c>
      <c r="F1745" s="844" t="s">
        <v>9</v>
      </c>
      <c r="G1745" s="845"/>
      <c r="H1745" s="846"/>
      <c r="I1745" s="10">
        <v>1.03</v>
      </c>
      <c r="J1745" s="10"/>
      <c r="K1745" s="326">
        <f>+E1745*I1745</f>
        <v>0.52529999999999999</v>
      </c>
      <c r="L1745" s="10" t="s">
        <v>9</v>
      </c>
      <c r="M1745" s="1067"/>
      <c r="N1745" s="420"/>
      <c r="O1745"/>
      <c r="P1745" s="392"/>
      <c r="Q1745" s="391"/>
      <c r="R1745" s="393"/>
    </row>
    <row r="1746" spans="1:18" ht="30" customHeight="1" x14ac:dyDescent="0.25">
      <c r="A1746" s="10" t="s">
        <v>644</v>
      </c>
      <c r="B1746" s="346" t="s">
        <v>1320</v>
      </c>
      <c r="C1746" s="347"/>
      <c r="D1746" s="348"/>
      <c r="E1746" s="14">
        <f xml:space="preserve"> 0.53+((1.06+1.57)/2)</f>
        <v>1.845</v>
      </c>
      <c r="F1746" s="844" t="s">
        <v>9</v>
      </c>
      <c r="G1746" s="845"/>
      <c r="H1746" s="846"/>
      <c r="I1746" s="10">
        <v>1.03</v>
      </c>
      <c r="J1746" s="10"/>
      <c r="K1746" s="326">
        <f>+E1746*I1746</f>
        <v>1.90035</v>
      </c>
      <c r="L1746" s="10" t="s">
        <v>9</v>
      </c>
      <c r="M1746" s="1067"/>
      <c r="N1746" s="420"/>
      <c r="O1746"/>
      <c r="P1746" s="392"/>
      <c r="Q1746" s="391"/>
      <c r="R1746" s="393"/>
    </row>
    <row r="1747" spans="1:18" s="49" customFormat="1" ht="30" customHeight="1" x14ac:dyDescent="0.25">
      <c r="A1747" s="10"/>
      <c r="B1747" s="346"/>
      <c r="C1747" s="347"/>
      <c r="D1747" s="348"/>
      <c r="E1747" s="326"/>
      <c r="F1747" s="10"/>
      <c r="G1747" s="845"/>
      <c r="H1747" s="846"/>
      <c r="I1747" s="10"/>
      <c r="J1747" s="10" t="s">
        <v>578</v>
      </c>
      <c r="K1747" s="326">
        <f>SUM(K1741:K1746)</f>
        <v>171.87419750626282</v>
      </c>
      <c r="L1747" s="10" t="s">
        <v>9</v>
      </c>
      <c r="M1747" s="1897"/>
      <c r="N1747" s="420"/>
      <c r="P1747" s="392"/>
      <c r="Q1747" s="391"/>
      <c r="R1747" s="393"/>
    </row>
    <row r="1748" spans="1:18" ht="30" customHeight="1" x14ac:dyDescent="0.25">
      <c r="A1748" s="20"/>
      <c r="B1748" s="410"/>
      <c r="C1748" s="410"/>
      <c r="D1748" s="410"/>
      <c r="E1748" s="405"/>
      <c r="F1748" s="338" t="s">
        <v>533</v>
      </c>
      <c r="G1748" s="339" t="s">
        <v>534</v>
      </c>
      <c r="H1748" s="339"/>
      <c r="I1748" s="339"/>
      <c r="J1748" s="339"/>
      <c r="K1748" s="340">
        <v>1.08</v>
      </c>
      <c r="L1748" s="10"/>
      <c r="M1748" s="1067"/>
      <c r="N1748" s="1913"/>
      <c r="O1748"/>
      <c r="P1748" s="392"/>
      <c r="Q1748" s="391"/>
      <c r="R1748" s="393"/>
    </row>
    <row r="1749" spans="1:18" ht="30" customHeight="1" x14ac:dyDescent="0.25">
      <c r="A1749" s="20"/>
      <c r="B1749" s="410"/>
      <c r="C1749" s="410"/>
      <c r="D1749" s="410"/>
      <c r="E1749" s="405"/>
      <c r="F1749" s="343"/>
      <c r="G1749" s="344" t="s">
        <v>535</v>
      </c>
      <c r="H1749" s="344"/>
      <c r="I1749" s="344"/>
      <c r="J1749" s="344"/>
      <c r="K1749" s="340">
        <v>1.02</v>
      </c>
      <c r="L1749" s="10"/>
      <c r="M1749" s="1067"/>
      <c r="N1749" s="1913"/>
      <c r="O1749"/>
      <c r="P1749" s="392"/>
      <c r="Q1749" s="391"/>
      <c r="R1749" s="393"/>
    </row>
    <row r="1750" spans="1:18" ht="30" customHeight="1" x14ac:dyDescent="0.25">
      <c r="A1750" s="10"/>
      <c r="B1750" s="10"/>
      <c r="C1750" s="13"/>
      <c r="D1750" s="13"/>
      <c r="E1750" s="13"/>
      <c r="F1750" s="13"/>
      <c r="G1750" s="13"/>
      <c r="H1750" s="13"/>
      <c r="I1750" s="13"/>
      <c r="J1750" s="1058" t="s">
        <v>358</v>
      </c>
      <c r="K1750" s="14">
        <f>+K1747*K1748/K1749</f>
        <v>181.98444441839595</v>
      </c>
      <c r="L1750" s="10" t="s">
        <v>9</v>
      </c>
      <c r="M1750" s="1067"/>
      <c r="N1750" s="420"/>
      <c r="O1750"/>
      <c r="P1750" s="392"/>
      <c r="Q1750" s="391"/>
      <c r="R1750" s="393"/>
    </row>
    <row r="1751" spans="1:18" ht="30" customHeight="1" thickBot="1" x14ac:dyDescent="0.3">
      <c r="A1751" s="10"/>
      <c r="B1751" s="10"/>
      <c r="C1751" s="13"/>
      <c r="D1751" s="13"/>
      <c r="E1751" s="13"/>
      <c r="F1751" s="13"/>
      <c r="G1751" s="556"/>
      <c r="H1751" s="13"/>
      <c r="I1751" s="969" t="s">
        <v>652</v>
      </c>
      <c r="J1751" s="361">
        <f>VLOOKUP(B1739,'Mil Cost Premiums for RUCs'!$A$4:$R$265,18,FALSE)</f>
        <v>1.1561386038173773</v>
      </c>
      <c r="K1751" s="14">
        <f>+K1750*J1751</f>
        <v>210.39924148636541</v>
      </c>
      <c r="L1751" s="10" t="s">
        <v>9</v>
      </c>
      <c r="M1751" s="1067"/>
      <c r="N1751" s="420"/>
      <c r="O1751"/>
      <c r="P1751" s="392"/>
      <c r="Q1751" s="391"/>
      <c r="R1751" s="393"/>
    </row>
    <row r="1752" spans="1:18" ht="30" customHeight="1" thickBot="1" x14ac:dyDescent="0.3">
      <c r="A1752" s="76"/>
      <c r="B1752" s="77"/>
      <c r="C1752" s="77"/>
      <c r="D1752" s="77"/>
      <c r="E1752" s="77"/>
      <c r="F1752" s="77"/>
      <c r="G1752" s="77"/>
      <c r="H1752" s="77"/>
      <c r="I1752" s="77"/>
      <c r="J1752" s="77"/>
      <c r="K1752" s="77"/>
      <c r="L1752" s="78"/>
      <c r="M1752" s="670"/>
      <c r="N1752" s="671"/>
      <c r="O1752" s="43"/>
      <c r="P1752" s="672"/>
      <c r="Q1752" s="671"/>
      <c r="R1752" s="673"/>
    </row>
    <row r="1753" spans="1:18" ht="30" customHeight="1" x14ac:dyDescent="0.25">
      <c r="A1753" s="417" t="s">
        <v>288</v>
      </c>
      <c r="B1753" s="418">
        <v>2162</v>
      </c>
      <c r="C1753" s="415" t="s">
        <v>1479</v>
      </c>
      <c r="D1753" s="416"/>
      <c r="E1753" s="540" t="s">
        <v>291</v>
      </c>
      <c r="F1753" s="541" t="s">
        <v>9</v>
      </c>
      <c r="G1753" s="123" t="s">
        <v>375</v>
      </c>
      <c r="H1753" s="542">
        <v>5484</v>
      </c>
      <c r="I1753" s="540" t="s">
        <v>292</v>
      </c>
      <c r="J1753" s="747" t="s">
        <v>883</v>
      </c>
      <c r="K1753" s="747"/>
      <c r="L1753" s="748"/>
      <c r="M1753" s="670"/>
      <c r="N1753" s="671"/>
      <c r="O1753" s="43"/>
      <c r="P1753" s="672"/>
      <c r="Q1753" s="671"/>
      <c r="R1753" s="673"/>
    </row>
    <row r="1754" spans="1:18" ht="30" customHeight="1" x14ac:dyDescent="0.25">
      <c r="A1754" s="421" t="s">
        <v>529</v>
      </c>
      <c r="B1754" s="543" t="s">
        <v>560</v>
      </c>
      <c r="C1754" s="544"/>
      <c r="D1754" s="545"/>
      <c r="E1754" s="546" t="s">
        <v>519</v>
      </c>
      <c r="F1754" s="546" t="s">
        <v>561</v>
      </c>
      <c r="G1754" s="547" t="s">
        <v>562</v>
      </c>
      <c r="H1754" s="548"/>
      <c r="I1754" s="424" t="s">
        <v>530</v>
      </c>
      <c r="J1754" s="424"/>
      <c r="K1754" s="288" t="s">
        <v>521</v>
      </c>
      <c r="L1754" s="289"/>
      <c r="M1754" s="1067"/>
      <c r="N1754" s="420"/>
      <c r="O1754"/>
      <c r="P1754" s="392"/>
      <c r="Q1754" s="391"/>
      <c r="R1754" s="393"/>
    </row>
    <row r="1755" spans="1:18" ht="45" customHeight="1" x14ac:dyDescent="0.25">
      <c r="A1755" s="10" t="s">
        <v>758</v>
      </c>
      <c r="B1755" s="1033" t="s">
        <v>1466</v>
      </c>
      <c r="C1755" s="1034"/>
      <c r="D1755" s="1035"/>
      <c r="E1755" s="326">
        <f>149.46-2.29</f>
        <v>147.17000000000002</v>
      </c>
      <c r="F1755" s="10" t="s">
        <v>9</v>
      </c>
      <c r="G1755" s="1055"/>
      <c r="H1755" s="10"/>
      <c r="I1755" s="10">
        <v>1.03</v>
      </c>
      <c r="J1755" s="10"/>
      <c r="K1755" s="326">
        <f>+E1755*I1755</f>
        <v>151.58510000000001</v>
      </c>
      <c r="L1755" s="10" t="s">
        <v>9</v>
      </c>
      <c r="M1755" s="1067"/>
      <c r="N1755" s="420"/>
      <c r="O1755"/>
      <c r="P1755" s="392"/>
      <c r="Q1755" s="391"/>
      <c r="R1755" s="393"/>
    </row>
    <row r="1756" spans="1:18" ht="30" customHeight="1" x14ac:dyDescent="0.25">
      <c r="A1756" s="10" t="s">
        <v>760</v>
      </c>
      <c r="B1756" s="346" t="s">
        <v>1467</v>
      </c>
      <c r="C1756" s="347"/>
      <c r="D1756" s="348"/>
      <c r="E1756" s="12">
        <v>132000</v>
      </c>
      <c r="F1756" s="1056" t="s">
        <v>1473</v>
      </c>
      <c r="G1756" s="1059">
        <f>+H1753</f>
        <v>5484</v>
      </c>
      <c r="H1756" s="846" t="s">
        <v>1468</v>
      </c>
      <c r="I1756" s="10">
        <v>1.02</v>
      </c>
      <c r="J1756" s="10"/>
      <c r="K1756" s="326">
        <f>+(E1756)/H1753*I1756</f>
        <v>24.551422319474835</v>
      </c>
      <c r="L1756" s="10" t="s">
        <v>9</v>
      </c>
      <c r="M1756" s="1067"/>
      <c r="N1756" s="420"/>
      <c r="O1756"/>
      <c r="P1756" s="392"/>
      <c r="Q1756" s="391"/>
      <c r="R1756" s="393"/>
    </row>
    <row r="1757" spans="1:18" ht="30" customHeight="1" x14ac:dyDescent="0.25">
      <c r="A1757" s="10" t="s">
        <v>1421</v>
      </c>
      <c r="B1757" s="346" t="s">
        <v>1474</v>
      </c>
      <c r="C1757" s="347"/>
      <c r="D1757" s="348"/>
      <c r="E1757" s="14">
        <v>38.85</v>
      </c>
      <c r="F1757" s="10" t="s">
        <v>1475</v>
      </c>
      <c r="G1757" s="1060">
        <f>144/H1753</f>
        <v>2.6258205689277898E-2</v>
      </c>
      <c r="H1757" s="846" t="s">
        <v>1476</v>
      </c>
      <c r="I1757" s="10">
        <v>1.03</v>
      </c>
      <c r="J1757" s="10"/>
      <c r="K1757" s="326">
        <f>+E1757*G1757*I1757</f>
        <v>1.0507352297592998</v>
      </c>
      <c r="L1757" s="10" t="s">
        <v>9</v>
      </c>
      <c r="M1757" s="1067"/>
      <c r="N1757" s="420"/>
      <c r="O1757"/>
      <c r="P1757" s="392"/>
      <c r="Q1757" s="391"/>
      <c r="R1757" s="393"/>
    </row>
    <row r="1758" spans="1:18" s="49" customFormat="1" ht="30" customHeight="1" x14ac:dyDescent="0.25">
      <c r="A1758" s="10" t="s">
        <v>644</v>
      </c>
      <c r="B1758" s="346" t="s">
        <v>1477</v>
      </c>
      <c r="C1758" s="347"/>
      <c r="D1758" s="348"/>
      <c r="E1758" s="326">
        <v>3.4</v>
      </c>
      <c r="F1758" s="844" t="s">
        <v>9</v>
      </c>
      <c r="G1758" s="845"/>
      <c r="H1758" s="846"/>
      <c r="I1758" s="10">
        <v>1.03</v>
      </c>
      <c r="J1758" s="10"/>
      <c r="K1758" s="326">
        <f>+E1758*I1758</f>
        <v>3.5019999999999998</v>
      </c>
      <c r="L1758" s="10" t="s">
        <v>9</v>
      </c>
      <c r="M1758" s="1897"/>
      <c r="N1758" s="420"/>
      <c r="P1758" s="392"/>
      <c r="Q1758" s="391"/>
      <c r="R1758" s="393"/>
    </row>
    <row r="1759" spans="1:18" ht="30" customHeight="1" x14ac:dyDescent="0.25">
      <c r="A1759" s="10" t="s">
        <v>644</v>
      </c>
      <c r="B1759" s="346" t="s">
        <v>1478</v>
      </c>
      <c r="C1759" s="347"/>
      <c r="D1759" s="348"/>
      <c r="E1759" s="326">
        <f>+E1758*0.15</f>
        <v>0.51</v>
      </c>
      <c r="F1759" s="844" t="s">
        <v>9</v>
      </c>
      <c r="G1759" s="845"/>
      <c r="H1759" s="846"/>
      <c r="I1759" s="10">
        <v>1.03</v>
      </c>
      <c r="J1759" s="10"/>
      <c r="K1759" s="326">
        <f>+E1759*I1759</f>
        <v>0.52529999999999999</v>
      </c>
      <c r="L1759" s="10" t="s">
        <v>9</v>
      </c>
      <c r="M1759" s="1067"/>
      <c r="N1759" s="420"/>
      <c r="O1759"/>
      <c r="P1759" s="392"/>
      <c r="Q1759" s="391"/>
      <c r="R1759" s="393"/>
    </row>
    <row r="1760" spans="1:18" ht="30" customHeight="1" x14ac:dyDescent="0.25">
      <c r="A1760" s="10" t="s">
        <v>644</v>
      </c>
      <c r="B1760" s="346" t="s">
        <v>1320</v>
      </c>
      <c r="C1760" s="347"/>
      <c r="D1760" s="348"/>
      <c r="E1760" s="14">
        <f xml:space="preserve"> 0.53+((1.06+1.57)/2)</f>
        <v>1.845</v>
      </c>
      <c r="F1760" s="844" t="s">
        <v>9</v>
      </c>
      <c r="G1760" s="845"/>
      <c r="H1760" s="846"/>
      <c r="I1760" s="10">
        <v>1.03</v>
      </c>
      <c r="J1760" s="10"/>
      <c r="K1760" s="326">
        <f>+E1760*I1760</f>
        <v>1.90035</v>
      </c>
      <c r="L1760" s="10" t="s">
        <v>9</v>
      </c>
      <c r="M1760" s="1067"/>
      <c r="N1760" s="420"/>
      <c r="O1760"/>
      <c r="P1760" s="392"/>
      <c r="Q1760" s="391"/>
      <c r="R1760" s="393"/>
    </row>
    <row r="1761" spans="1:18" ht="30" customHeight="1" x14ac:dyDescent="0.25">
      <c r="A1761" s="10"/>
      <c r="B1761" s="346"/>
      <c r="C1761" s="347"/>
      <c r="D1761" s="348"/>
      <c r="E1761" s="326"/>
      <c r="F1761" s="10"/>
      <c r="G1761" s="845"/>
      <c r="H1761" s="846"/>
      <c r="I1761" s="10"/>
      <c r="J1761" s="10" t="s">
        <v>578</v>
      </c>
      <c r="K1761" s="326">
        <f>SUM(K1755:K1760)</f>
        <v>183.11490754923415</v>
      </c>
      <c r="L1761" s="10" t="s">
        <v>9</v>
      </c>
      <c r="M1761" s="1067"/>
      <c r="N1761" s="420"/>
      <c r="O1761"/>
      <c r="P1761" s="392"/>
      <c r="Q1761" s="391"/>
      <c r="R1761" s="393"/>
    </row>
    <row r="1762" spans="1:18" ht="30" customHeight="1" x14ac:dyDescent="0.25">
      <c r="A1762" s="20"/>
      <c r="B1762" s="410"/>
      <c r="C1762" s="410"/>
      <c r="D1762" s="410"/>
      <c r="E1762" s="405"/>
      <c r="F1762" s="338" t="s">
        <v>533</v>
      </c>
      <c r="G1762" s="339" t="s">
        <v>534</v>
      </c>
      <c r="H1762" s="339"/>
      <c r="I1762" s="339"/>
      <c r="J1762" s="339"/>
      <c r="K1762" s="340">
        <v>1.08</v>
      </c>
      <c r="L1762" s="10"/>
      <c r="M1762" s="1067"/>
      <c r="N1762" s="420"/>
      <c r="O1762"/>
      <c r="P1762" s="392"/>
      <c r="Q1762" s="391"/>
      <c r="R1762" s="393"/>
    </row>
    <row r="1763" spans="1:18" ht="30" customHeight="1" x14ac:dyDescent="0.25">
      <c r="A1763" s="20"/>
      <c r="B1763" s="410"/>
      <c r="C1763" s="410"/>
      <c r="D1763" s="410"/>
      <c r="E1763" s="405"/>
      <c r="F1763" s="343"/>
      <c r="G1763" s="344" t="s">
        <v>535</v>
      </c>
      <c r="H1763" s="344"/>
      <c r="I1763" s="344"/>
      <c r="J1763" s="344"/>
      <c r="K1763" s="340">
        <v>1.02</v>
      </c>
      <c r="L1763" s="10"/>
      <c r="M1763" s="1067"/>
      <c r="N1763" s="420"/>
      <c r="O1763"/>
      <c r="P1763" s="392"/>
      <c r="Q1763" s="391"/>
      <c r="R1763" s="393"/>
    </row>
    <row r="1764" spans="1:18" ht="30" customHeight="1" x14ac:dyDescent="0.25">
      <c r="A1764" s="10"/>
      <c r="B1764" s="10"/>
      <c r="C1764" s="13"/>
      <c r="D1764" s="13"/>
      <c r="E1764" s="13"/>
      <c r="F1764" s="13"/>
      <c r="G1764" s="13"/>
      <c r="H1764" s="13"/>
      <c r="I1764" s="13"/>
      <c r="J1764" s="1058" t="s">
        <v>358</v>
      </c>
      <c r="K1764" s="14">
        <f>+K1761*K1762/K1763</f>
        <v>193.88637269918911</v>
      </c>
      <c r="L1764" s="10" t="s">
        <v>9</v>
      </c>
      <c r="M1764" s="1067"/>
      <c r="N1764" s="420"/>
      <c r="O1764"/>
      <c r="P1764" s="392"/>
      <c r="Q1764" s="391"/>
      <c r="R1764" s="393"/>
    </row>
    <row r="1765" spans="1:18" ht="30" customHeight="1" x14ac:dyDescent="0.25">
      <c r="A1765" s="10"/>
      <c r="B1765" s="10"/>
      <c r="C1765" s="13"/>
      <c r="D1765" s="13"/>
      <c r="E1765" s="13"/>
      <c r="F1765" s="13"/>
      <c r="G1765" s="556"/>
      <c r="H1765" s="13"/>
      <c r="I1765" s="969" t="s">
        <v>652</v>
      </c>
      <c r="J1765" s="361">
        <f>VLOOKUP(B1753,'Mil Cost Premiums for RUCs'!$A$4:$R$265,18,FALSE)</f>
        <v>1.1561386038173773</v>
      </c>
      <c r="K1765" s="14">
        <f>+K1764*J1765</f>
        <v>224.15952023165616</v>
      </c>
      <c r="L1765" s="10" t="s">
        <v>9</v>
      </c>
      <c r="M1765" s="1067"/>
      <c r="N1765" s="420"/>
      <c r="O1765"/>
      <c r="P1765" s="392"/>
      <c r="Q1765" s="391"/>
      <c r="R1765" s="393"/>
    </row>
    <row r="1766" spans="1:18" ht="75" customHeight="1" x14ac:dyDescent="0.25">
      <c r="A1766" s="575" t="s">
        <v>538</v>
      </c>
      <c r="B1766" s="893"/>
      <c r="C1766" s="893"/>
      <c r="D1766" s="893"/>
      <c r="E1766" s="893"/>
      <c r="F1766" s="893"/>
      <c r="G1766" s="893"/>
      <c r="H1766" s="893"/>
      <c r="I1766" s="893"/>
      <c r="J1766" s="893"/>
      <c r="K1766" s="893"/>
      <c r="L1766" s="894"/>
      <c r="M1766" s="670"/>
      <c r="N1766" s="671"/>
      <c r="O1766" s="43"/>
      <c r="P1766" s="672"/>
      <c r="Q1766" s="671"/>
      <c r="R1766" s="673"/>
    </row>
    <row r="1767" spans="1:18" ht="30" customHeight="1" x14ac:dyDescent="0.25">
      <c r="A1767" s="1044" t="s">
        <v>539</v>
      </c>
      <c r="B1767" s="1045"/>
      <c r="C1767" s="1046"/>
      <c r="D1767" s="386" t="s">
        <v>1480</v>
      </c>
      <c r="E1767" s="849"/>
      <c r="F1767" s="849"/>
      <c r="G1767" s="849"/>
      <c r="H1767" s="849"/>
      <c r="I1767" s="849"/>
      <c r="J1767" s="849"/>
      <c r="K1767" s="849"/>
      <c r="L1767" s="850"/>
      <c r="M1767" s="670"/>
      <c r="N1767" s="671"/>
      <c r="O1767" s="43"/>
      <c r="P1767" s="672"/>
      <c r="Q1767" s="671"/>
      <c r="R1767" s="673"/>
    </row>
    <row r="1768" spans="1:18" ht="30" customHeight="1" x14ac:dyDescent="0.25">
      <c r="A1768" s="1044" t="s">
        <v>541</v>
      </c>
      <c r="B1768" s="1045"/>
      <c r="C1768" s="1046"/>
      <c r="D1768" s="386" t="s">
        <v>1377</v>
      </c>
      <c r="E1768" s="849"/>
      <c r="F1768" s="849"/>
      <c r="G1768" s="849"/>
      <c r="H1768" s="849"/>
      <c r="I1768" s="849"/>
      <c r="J1768" s="849"/>
      <c r="K1768" s="849"/>
      <c r="L1768" s="850"/>
      <c r="M1768" s="1067"/>
      <c r="N1768" s="420"/>
      <c r="O1768"/>
      <c r="P1768" s="392"/>
      <c r="Q1768" s="391"/>
      <c r="R1768" s="393"/>
    </row>
    <row r="1769" spans="1:18" ht="30" customHeight="1" x14ac:dyDescent="0.25">
      <c r="A1769" s="1044" t="s">
        <v>543</v>
      </c>
      <c r="B1769" s="1045"/>
      <c r="C1769" s="1046"/>
      <c r="D1769" s="577" t="s">
        <v>1481</v>
      </c>
      <c r="E1769" s="578"/>
      <c r="F1769" s="578"/>
      <c r="G1769" s="578"/>
      <c r="H1769" s="578"/>
      <c r="I1769" s="578"/>
      <c r="J1769" s="578"/>
      <c r="K1769" s="578"/>
      <c r="L1769" s="579"/>
      <c r="M1769" s="1067"/>
      <c r="N1769" s="420"/>
      <c r="O1769"/>
      <c r="P1769" s="392"/>
      <c r="Q1769" s="391"/>
      <c r="R1769" s="393"/>
    </row>
    <row r="1770" spans="1:18" ht="30" customHeight="1" x14ac:dyDescent="0.25">
      <c r="A1770" s="1044" t="s">
        <v>546</v>
      </c>
      <c r="B1770" s="1045"/>
      <c r="C1770" s="1046"/>
      <c r="D1770" s="386" t="s">
        <v>1379</v>
      </c>
      <c r="E1770" s="849"/>
      <c r="F1770" s="849"/>
      <c r="G1770" s="849"/>
      <c r="H1770" s="849"/>
      <c r="I1770" s="849"/>
      <c r="J1770" s="849"/>
      <c r="K1770" s="849"/>
      <c r="L1770" s="850"/>
      <c r="M1770" s="1905"/>
      <c r="N1770" s="420"/>
      <c r="O1770"/>
      <c r="P1770" s="392"/>
      <c r="Q1770" s="391"/>
      <c r="R1770" s="393"/>
    </row>
    <row r="1771" spans="1:18" ht="30" customHeight="1" x14ac:dyDescent="0.25">
      <c r="A1771" s="1044" t="s">
        <v>548</v>
      </c>
      <c r="B1771" s="1045"/>
      <c r="C1771" s="1046"/>
      <c r="D1771" s="386" t="s">
        <v>1482</v>
      </c>
      <c r="E1771" s="849"/>
      <c r="F1771" s="849"/>
      <c r="G1771" s="849"/>
      <c r="H1771" s="849"/>
      <c r="I1771" s="849"/>
      <c r="J1771" s="849"/>
      <c r="K1771" s="849"/>
      <c r="L1771" s="850"/>
      <c r="M1771" s="1067"/>
      <c r="N1771" s="420"/>
      <c r="O1771"/>
      <c r="P1771" s="392"/>
      <c r="Q1771" s="391"/>
      <c r="R1771" s="393"/>
    </row>
    <row r="1772" spans="1:18" s="49" customFormat="1" ht="30" customHeight="1" x14ac:dyDescent="0.25">
      <c r="A1772" s="1044" t="s">
        <v>550</v>
      </c>
      <c r="B1772" s="1045"/>
      <c r="C1772" s="1046"/>
      <c r="D1772" s="1061" t="s">
        <v>1366</v>
      </c>
      <c r="E1772" s="560"/>
      <c r="F1772" s="560"/>
      <c r="G1772" s="560"/>
      <c r="H1772" s="560"/>
      <c r="I1772" s="560"/>
      <c r="J1772" s="560"/>
      <c r="K1772" s="560"/>
      <c r="L1772" s="561"/>
      <c r="M1772" s="1897"/>
      <c r="N1772" s="420"/>
      <c r="P1772" s="392"/>
      <c r="Q1772" s="391"/>
      <c r="R1772" s="393"/>
    </row>
    <row r="1773" spans="1:18" ht="30" customHeight="1" x14ac:dyDescent="0.25">
      <c r="A1773" s="1044" t="s">
        <v>552</v>
      </c>
      <c r="B1773" s="1045"/>
      <c r="C1773" s="1046"/>
      <c r="D1773" s="1061" t="s">
        <v>1252</v>
      </c>
      <c r="E1773" s="560"/>
      <c r="F1773" s="560"/>
      <c r="G1773" s="560"/>
      <c r="H1773" s="560"/>
      <c r="I1773" s="560"/>
      <c r="J1773" s="560"/>
      <c r="K1773" s="560"/>
      <c r="L1773" s="561"/>
      <c r="M1773" s="1067"/>
      <c r="N1773" s="420"/>
      <c r="O1773"/>
      <c r="P1773" s="392"/>
      <c r="Q1773" s="391"/>
      <c r="R1773" s="393"/>
    </row>
    <row r="1774" spans="1:18" ht="75" customHeight="1" x14ac:dyDescent="0.25">
      <c r="A1774" s="1044" t="s">
        <v>553</v>
      </c>
      <c r="B1774" s="1045"/>
      <c r="C1774" s="1046"/>
      <c r="D1774" s="1011" t="s">
        <v>1483</v>
      </c>
      <c r="E1774" s="1012"/>
      <c r="F1774" s="1012"/>
      <c r="G1774" s="1012"/>
      <c r="H1774" s="1012"/>
      <c r="I1774" s="1012"/>
      <c r="J1774" s="1012"/>
      <c r="K1774" s="1012"/>
      <c r="L1774" s="1013"/>
      <c r="M1774" s="1067"/>
      <c r="N1774" s="420"/>
      <c r="O1774"/>
      <c r="P1774" s="392"/>
      <c r="Q1774" s="391"/>
      <c r="R1774" s="393"/>
    </row>
    <row r="1775" spans="1:18" ht="30" customHeight="1" thickBot="1" x14ac:dyDescent="0.3">
      <c r="A1775" s="1044" t="s">
        <v>556</v>
      </c>
      <c r="B1775" s="1045"/>
      <c r="C1775" s="1046"/>
      <c r="D1775" s="854" t="s">
        <v>1484</v>
      </c>
      <c r="E1775" s="709"/>
      <c r="F1775" s="709"/>
      <c r="G1775" s="709"/>
      <c r="H1775" s="709"/>
      <c r="I1775" s="709"/>
      <c r="J1775" s="709"/>
      <c r="K1775" s="709"/>
      <c r="L1775" s="710"/>
      <c r="M1775" s="1067"/>
      <c r="N1775" s="420"/>
      <c r="O1775"/>
      <c r="P1775" s="392"/>
      <c r="Q1775" s="391"/>
      <c r="R1775" s="393"/>
    </row>
    <row r="1776" spans="1:18" ht="30" customHeight="1" thickBot="1" x14ac:dyDescent="0.3">
      <c r="A1776" s="76"/>
      <c r="B1776" s="77"/>
      <c r="C1776" s="77"/>
      <c r="D1776" s="77"/>
      <c r="E1776" s="77"/>
      <c r="F1776" s="77"/>
      <c r="G1776" s="77"/>
      <c r="H1776" s="77"/>
      <c r="I1776" s="77"/>
      <c r="J1776" s="77"/>
      <c r="K1776" s="77"/>
      <c r="L1776" s="78"/>
      <c r="M1776" s="1067"/>
      <c r="N1776" s="420"/>
      <c r="O1776"/>
      <c r="P1776" s="392"/>
      <c r="Q1776" s="391"/>
      <c r="R1776" s="393"/>
    </row>
    <row r="1777" spans="1:18" ht="30" customHeight="1" x14ac:dyDescent="0.25">
      <c r="A1777" s="207" t="s">
        <v>288</v>
      </c>
      <c r="B1777" s="208">
        <v>2163</v>
      </c>
      <c r="C1777" s="1062" t="s">
        <v>1485</v>
      </c>
      <c r="D1777" s="1063"/>
      <c r="E1777" s="177" t="s">
        <v>291</v>
      </c>
      <c r="F1777" s="178" t="s">
        <v>9</v>
      </c>
      <c r="G1777" s="123" t="s">
        <v>375</v>
      </c>
      <c r="H1777" s="1051">
        <v>19794</v>
      </c>
      <c r="I1777" s="177" t="s">
        <v>292</v>
      </c>
      <c r="J1777" s="747" t="s">
        <v>883</v>
      </c>
      <c r="K1777" s="747"/>
      <c r="L1777" s="748"/>
      <c r="M1777" s="1067"/>
      <c r="N1777" s="420"/>
      <c r="O1777"/>
      <c r="P1777" s="392"/>
      <c r="Q1777" s="391"/>
      <c r="R1777" s="393"/>
    </row>
    <row r="1778" spans="1:18" ht="30" customHeight="1" x14ac:dyDescent="0.25">
      <c r="A1778" s="185" t="s">
        <v>529</v>
      </c>
      <c r="B1778" s="394" t="s">
        <v>560</v>
      </c>
      <c r="C1778" s="395"/>
      <c r="D1778" s="396"/>
      <c r="E1778" s="185" t="s">
        <v>519</v>
      </c>
      <c r="F1778" s="185" t="s">
        <v>561</v>
      </c>
      <c r="G1778" s="493" t="s">
        <v>562</v>
      </c>
      <c r="H1778" s="494"/>
      <c r="I1778" s="181" t="s">
        <v>530</v>
      </c>
      <c r="J1778" s="181"/>
      <c r="K1778" s="288" t="s">
        <v>521</v>
      </c>
      <c r="L1778" s="289"/>
      <c r="M1778" s="1067"/>
      <c r="N1778" s="420"/>
      <c r="O1778"/>
      <c r="P1778" s="392"/>
      <c r="Q1778" s="391"/>
      <c r="R1778" s="393"/>
    </row>
    <row r="1779" spans="1:18" ht="45" customHeight="1" x14ac:dyDescent="0.25">
      <c r="A1779" s="20" t="s">
        <v>758</v>
      </c>
      <c r="B1779" s="1033" t="s">
        <v>1466</v>
      </c>
      <c r="C1779" s="1034"/>
      <c r="D1779" s="1035"/>
      <c r="E1779" s="326">
        <f>149.46-2.29</f>
        <v>147.17000000000002</v>
      </c>
      <c r="F1779" s="20" t="s">
        <v>9</v>
      </c>
      <c r="G1779" s="522"/>
      <c r="H1779" s="20"/>
      <c r="I1779" s="20">
        <v>1.03</v>
      </c>
      <c r="J1779" s="20"/>
      <c r="K1779" s="405">
        <f>+E1779*I1779</f>
        <v>151.58510000000001</v>
      </c>
      <c r="L1779" s="20" t="s">
        <v>9</v>
      </c>
      <c r="M1779" s="1067"/>
      <c r="N1779" s="420"/>
      <c r="O1779"/>
      <c r="P1779" s="392"/>
      <c r="Q1779" s="391"/>
      <c r="R1779" s="393"/>
    </row>
    <row r="1780" spans="1:18" ht="30" customHeight="1" x14ac:dyDescent="0.25">
      <c r="A1780" s="20" t="s">
        <v>760</v>
      </c>
      <c r="B1780" s="402" t="s">
        <v>1486</v>
      </c>
      <c r="C1780" s="403"/>
      <c r="D1780" s="404"/>
      <c r="E1780" s="23">
        <v>166000</v>
      </c>
      <c r="F1780" s="20" t="s">
        <v>1473</v>
      </c>
      <c r="G1780" s="1054">
        <f>+H1777</f>
        <v>19794</v>
      </c>
      <c r="H1780" s="754" t="s">
        <v>1468</v>
      </c>
      <c r="I1780" s="20">
        <v>1.02</v>
      </c>
      <c r="J1780" s="20"/>
      <c r="K1780" s="405">
        <f>+(E1780/G1780)*I1780</f>
        <v>8.5541073052440133</v>
      </c>
      <c r="L1780" s="20" t="s">
        <v>9</v>
      </c>
      <c r="M1780" s="670"/>
      <c r="N1780" s="671"/>
      <c r="O1780" s="43"/>
      <c r="P1780" s="672"/>
      <c r="Q1780" s="671"/>
      <c r="R1780" s="673"/>
    </row>
    <row r="1781" spans="1:18" ht="30" customHeight="1" x14ac:dyDescent="0.25">
      <c r="A1781" s="20" t="s">
        <v>644</v>
      </c>
      <c r="B1781" s="402" t="s">
        <v>1469</v>
      </c>
      <c r="C1781" s="403"/>
      <c r="D1781" s="404"/>
      <c r="E1781" s="405">
        <v>3.06</v>
      </c>
      <c r="F1781" s="20" t="s">
        <v>9</v>
      </c>
      <c r="G1781" s="838"/>
      <c r="H1781" s="754"/>
      <c r="I1781" s="20">
        <v>1.03</v>
      </c>
      <c r="J1781" s="20"/>
      <c r="K1781" s="405">
        <f>+E1781*I1781</f>
        <v>3.1518000000000002</v>
      </c>
      <c r="L1781" s="20" t="s">
        <v>9</v>
      </c>
      <c r="M1781" s="670"/>
      <c r="N1781" s="671"/>
      <c r="O1781" s="43"/>
      <c r="P1781" s="672"/>
      <c r="Q1781" s="671"/>
      <c r="R1781" s="673"/>
    </row>
    <row r="1782" spans="1:18" ht="30" customHeight="1" x14ac:dyDescent="0.25">
      <c r="A1782" s="20" t="s">
        <v>644</v>
      </c>
      <c r="B1782" s="346" t="s">
        <v>1478</v>
      </c>
      <c r="C1782" s="347"/>
      <c r="D1782" s="348"/>
      <c r="E1782" s="326">
        <f>+E1781*0.15</f>
        <v>0.45899999999999996</v>
      </c>
      <c r="F1782" s="20"/>
      <c r="G1782" s="838"/>
      <c r="H1782" s="754"/>
      <c r="I1782" s="20">
        <v>1.03</v>
      </c>
      <c r="J1782" s="20"/>
      <c r="K1782" s="405">
        <f t="shared" ref="K1782:K1783" si="36">+E1782*I1782</f>
        <v>0.47276999999999997</v>
      </c>
      <c r="L1782" s="20"/>
      <c r="M1782" s="1067"/>
      <c r="N1782" s="420"/>
      <c r="O1782"/>
      <c r="P1782" s="392"/>
      <c r="Q1782" s="391"/>
      <c r="R1782" s="393"/>
    </row>
    <row r="1783" spans="1:18" ht="30" customHeight="1" x14ac:dyDescent="0.25">
      <c r="A1783" s="20" t="s">
        <v>644</v>
      </c>
      <c r="B1783" s="346" t="s">
        <v>1320</v>
      </c>
      <c r="C1783" s="347"/>
      <c r="D1783" s="348"/>
      <c r="E1783" s="14">
        <f xml:space="preserve"> 0.53+((1.06+1.57)/2)</f>
        <v>1.845</v>
      </c>
      <c r="F1783" s="20"/>
      <c r="G1783" s="838"/>
      <c r="H1783" s="754"/>
      <c r="I1783" s="20">
        <v>1.03</v>
      </c>
      <c r="J1783" s="20"/>
      <c r="K1783" s="405">
        <f t="shared" si="36"/>
        <v>1.90035</v>
      </c>
      <c r="L1783" s="20"/>
      <c r="M1783" s="1067"/>
      <c r="N1783" s="420"/>
      <c r="O1783"/>
      <c r="P1783" s="392"/>
      <c r="Q1783" s="391"/>
      <c r="R1783" s="393"/>
    </row>
    <row r="1784" spans="1:18" ht="30" customHeight="1" x14ac:dyDescent="0.25">
      <c r="A1784" s="20"/>
      <c r="B1784" s="402" t="s">
        <v>1487</v>
      </c>
      <c r="C1784" s="403"/>
      <c r="D1784" s="404"/>
      <c r="E1784" s="405"/>
      <c r="F1784" s="20"/>
      <c r="G1784" s="838"/>
      <c r="H1784" s="754"/>
      <c r="I1784" s="20"/>
      <c r="J1784" s="20" t="s">
        <v>578</v>
      </c>
      <c r="K1784" s="405">
        <f>SUM(K1779:K1783)</f>
        <v>165.66412730524402</v>
      </c>
      <c r="L1784" s="20" t="s">
        <v>9</v>
      </c>
      <c r="M1784" s="1067"/>
      <c r="N1784" s="420"/>
      <c r="O1784"/>
      <c r="P1784" s="392"/>
      <c r="Q1784" s="391"/>
      <c r="R1784" s="393"/>
    </row>
    <row r="1785" spans="1:18" ht="30" customHeight="1" x14ac:dyDescent="0.25">
      <c r="A1785" s="20"/>
      <c r="B1785" s="410"/>
      <c r="C1785" s="410"/>
      <c r="D1785" s="410"/>
      <c r="E1785" s="405"/>
      <c r="F1785" s="338" t="s">
        <v>533</v>
      </c>
      <c r="G1785" s="1064" t="s">
        <v>534</v>
      </c>
      <c r="H1785" s="1065"/>
      <c r="I1785" s="1065"/>
      <c r="J1785" s="1066"/>
      <c r="K1785" s="340">
        <v>1.08</v>
      </c>
      <c r="L1785" s="10"/>
      <c r="M1785" s="1067"/>
      <c r="N1785" s="420"/>
      <c r="O1785"/>
      <c r="P1785" s="392"/>
      <c r="Q1785" s="391"/>
      <c r="R1785" s="393"/>
    </row>
    <row r="1786" spans="1:18" ht="30" customHeight="1" x14ac:dyDescent="0.25">
      <c r="A1786" s="20"/>
      <c r="B1786" s="410"/>
      <c r="C1786" s="410"/>
      <c r="D1786" s="410"/>
      <c r="E1786" s="405"/>
      <c r="F1786" s="343"/>
      <c r="G1786" s="1068" t="s">
        <v>535</v>
      </c>
      <c r="H1786" s="1069"/>
      <c r="I1786" s="1069"/>
      <c r="J1786" s="1070"/>
      <c r="K1786" s="340">
        <v>1.02</v>
      </c>
      <c r="L1786" s="10"/>
      <c r="M1786" s="1067"/>
      <c r="N1786" s="420"/>
      <c r="O1786"/>
      <c r="P1786" s="392"/>
      <c r="Q1786" s="391"/>
      <c r="R1786" s="393"/>
    </row>
    <row r="1787" spans="1:18" ht="30" customHeight="1" x14ac:dyDescent="0.25">
      <c r="A1787" s="20"/>
      <c r="B1787" s="20"/>
      <c r="C1787" s="18"/>
      <c r="D1787" s="18"/>
      <c r="E1787" s="18"/>
      <c r="F1787" s="18"/>
      <c r="G1787" s="18"/>
      <c r="H1787" s="18"/>
      <c r="I1787" s="18"/>
      <c r="J1787" s="18" t="s">
        <v>358</v>
      </c>
      <c r="K1787" s="23">
        <f>+K1784*K1785/K1786</f>
        <v>175.40907597025839</v>
      </c>
      <c r="L1787" s="20" t="s">
        <v>9</v>
      </c>
      <c r="M1787" s="1067"/>
      <c r="N1787" s="420"/>
      <c r="O1787"/>
      <c r="P1787" s="392"/>
      <c r="Q1787" s="391"/>
      <c r="R1787" s="393"/>
    </row>
    <row r="1788" spans="1:18" ht="30" customHeight="1" thickBot="1" x14ac:dyDescent="0.3">
      <c r="A1788" s="20"/>
      <c r="B1788" s="20"/>
      <c r="C1788" s="18"/>
      <c r="D1788" s="18"/>
      <c r="E1788" s="18"/>
      <c r="F1788" s="18"/>
      <c r="G1788" s="413" t="s">
        <v>537</v>
      </c>
      <c r="H1788" s="18"/>
      <c r="I1788" s="18"/>
      <c r="J1788" s="361">
        <f>VLOOKUP(B1777,'Mil Cost Premiums for RUCs'!$A$4:$R$265,18,FALSE)</f>
        <v>1.1561386038173773</v>
      </c>
      <c r="K1788" s="23">
        <f>+K1787*J1788</f>
        <v>202.79720418915079</v>
      </c>
      <c r="L1788" s="20" t="s">
        <v>9</v>
      </c>
      <c r="M1788" s="1067"/>
      <c r="N1788" s="420"/>
      <c r="O1788"/>
      <c r="P1788" s="392"/>
      <c r="Q1788" s="391"/>
      <c r="R1788" s="393"/>
    </row>
    <row r="1789" spans="1:18" ht="30" customHeight="1" thickBot="1" x14ac:dyDescent="0.3">
      <c r="A1789" s="76"/>
      <c r="B1789" s="77"/>
      <c r="C1789" s="77"/>
      <c r="D1789" s="77"/>
      <c r="E1789" s="77"/>
      <c r="F1789" s="77"/>
      <c r="G1789" s="77"/>
      <c r="H1789" s="77"/>
      <c r="I1789" s="77"/>
      <c r="J1789" s="77"/>
      <c r="K1789" s="77"/>
      <c r="L1789" s="78"/>
      <c r="M1789" s="1067"/>
      <c r="N1789" s="420"/>
      <c r="O1789"/>
      <c r="P1789" s="392"/>
      <c r="Q1789" s="391"/>
      <c r="R1789" s="393"/>
    </row>
    <row r="1790" spans="1:18" ht="30" customHeight="1" x14ac:dyDescent="0.25">
      <c r="A1790" s="207" t="s">
        <v>288</v>
      </c>
      <c r="B1790" s="208">
        <v>2171</v>
      </c>
      <c r="C1790" s="282" t="s">
        <v>1488</v>
      </c>
      <c r="D1790" s="283"/>
      <c r="E1790" s="177" t="s">
        <v>291</v>
      </c>
      <c r="F1790" s="178" t="s">
        <v>9</v>
      </c>
      <c r="G1790" s="123" t="s">
        <v>375</v>
      </c>
      <c r="H1790" s="302">
        <v>9388</v>
      </c>
      <c r="I1790" s="177" t="s">
        <v>292</v>
      </c>
      <c r="J1790" s="38" t="s">
        <v>1339</v>
      </c>
      <c r="K1790" s="39"/>
      <c r="L1790" s="40"/>
      <c r="M1790" s="1067"/>
      <c r="N1790" s="420"/>
      <c r="O1790"/>
      <c r="P1790" s="392"/>
      <c r="Q1790" s="391"/>
      <c r="R1790" s="393"/>
    </row>
    <row r="1791" spans="1:18" ht="30" customHeight="1" x14ac:dyDescent="0.25">
      <c r="A1791" s="181" t="s">
        <v>517</v>
      </c>
      <c r="B1791" s="180" t="s">
        <v>295</v>
      </c>
      <c r="C1791" s="180"/>
      <c r="D1791" s="180"/>
      <c r="E1791" s="285" t="s">
        <v>519</v>
      </c>
      <c r="F1791" s="181" t="s">
        <v>518</v>
      </c>
      <c r="G1791" s="665" t="s">
        <v>2</v>
      </c>
      <c r="H1791" s="666"/>
      <c r="I1791" s="286" t="s">
        <v>520</v>
      </c>
      <c r="J1791" s="287"/>
      <c r="K1791" s="288" t="s">
        <v>521</v>
      </c>
      <c r="L1791" s="289"/>
      <c r="M1791" s="1067"/>
      <c r="N1791" s="420"/>
      <c r="O1791"/>
      <c r="P1791" s="392"/>
      <c r="Q1791" s="391"/>
      <c r="R1791" s="393"/>
    </row>
    <row r="1792" spans="1:18" ht="30" customHeight="1" x14ac:dyDescent="0.25">
      <c r="A1792" s="20">
        <v>21710</v>
      </c>
      <c r="B1792" s="503" t="s">
        <v>1489</v>
      </c>
      <c r="C1792" s="504"/>
      <c r="D1792" s="505"/>
      <c r="E1792" s="405">
        <v>152.35</v>
      </c>
      <c r="F1792" s="729">
        <v>17000</v>
      </c>
      <c r="G1792" s="680" t="s">
        <v>9</v>
      </c>
      <c r="H1792" s="680"/>
      <c r="I1792" s="295">
        <f>+'MILCON Inflation Table'!$F$13</f>
        <v>1.0397823869432166</v>
      </c>
      <c r="J1792" s="296"/>
      <c r="K1792" s="304">
        <f>+E1792*I1792</f>
        <v>158.41084665079904</v>
      </c>
      <c r="L1792" s="290" t="s">
        <v>9</v>
      </c>
      <c r="M1792" s="1067"/>
      <c r="N1792" s="420"/>
      <c r="O1792"/>
      <c r="P1792" s="392"/>
      <c r="Q1792" s="391"/>
      <c r="R1792" s="393"/>
    </row>
    <row r="1793" spans="1:21" ht="30" customHeight="1" thickBot="1" x14ac:dyDescent="0.3">
      <c r="A1793" s="20"/>
      <c r="B1793" s="503"/>
      <c r="C1793" s="504"/>
      <c r="D1793" s="505"/>
      <c r="E1793" s="465"/>
      <c r="F1793" s="763"/>
      <c r="G1793" s="465"/>
      <c r="H1793" s="764"/>
      <c r="I1793" s="18"/>
      <c r="J1793" s="185" t="s">
        <v>358</v>
      </c>
      <c r="K1793" s="305">
        <f>AVERAGE(K1792:K1792)</f>
        <v>158.41084665079904</v>
      </c>
      <c r="L1793" s="290" t="s">
        <v>9</v>
      </c>
      <c r="N1793" s="342"/>
      <c r="O1793" s="42"/>
      <c r="P1793" s="41"/>
      <c r="Q1793" s="41"/>
      <c r="R1793" s="41"/>
      <c r="S1793" s="41"/>
      <c r="T1793" s="41"/>
      <c r="U1793" s="43"/>
    </row>
    <row r="1794" spans="1:21" ht="30" customHeight="1" thickBot="1" x14ac:dyDescent="0.3">
      <c r="A1794" s="76"/>
      <c r="B1794" s="77"/>
      <c r="C1794" s="77"/>
      <c r="D1794" s="77"/>
      <c r="E1794" s="77"/>
      <c r="F1794" s="77"/>
      <c r="G1794" s="77"/>
      <c r="H1794" s="77"/>
      <c r="I1794" s="77"/>
      <c r="J1794" s="77"/>
      <c r="K1794" s="77"/>
      <c r="L1794" s="78"/>
      <c r="U1794" s="43"/>
    </row>
    <row r="1795" spans="1:21" ht="30" customHeight="1" x14ac:dyDescent="0.25">
      <c r="A1795" s="207" t="s">
        <v>288</v>
      </c>
      <c r="B1795" s="208">
        <v>2172</v>
      </c>
      <c r="C1795" s="282" t="s">
        <v>1490</v>
      </c>
      <c r="D1795" s="283"/>
      <c r="E1795" s="177" t="s">
        <v>291</v>
      </c>
      <c r="F1795" s="178" t="s">
        <v>9</v>
      </c>
      <c r="G1795" s="123" t="s">
        <v>375</v>
      </c>
      <c r="H1795" s="663">
        <v>17522</v>
      </c>
      <c r="I1795" s="177" t="s">
        <v>292</v>
      </c>
      <c r="J1795" s="38" t="s">
        <v>1339</v>
      </c>
      <c r="K1795" s="39"/>
      <c r="L1795" s="40"/>
      <c r="M1795" s="1067"/>
      <c r="N1795" s="420"/>
      <c r="O1795"/>
      <c r="P1795" s="392"/>
      <c r="Q1795" s="391"/>
      <c r="R1795" s="393"/>
    </row>
    <row r="1796" spans="1:21" s="49" customFormat="1" ht="30" customHeight="1" x14ac:dyDescent="0.25">
      <c r="A1796" s="181" t="s">
        <v>517</v>
      </c>
      <c r="B1796" s="180" t="s">
        <v>295</v>
      </c>
      <c r="C1796" s="180"/>
      <c r="D1796" s="180"/>
      <c r="E1796" s="285" t="s">
        <v>519</v>
      </c>
      <c r="F1796" s="181" t="s">
        <v>518</v>
      </c>
      <c r="G1796" s="665" t="s">
        <v>2</v>
      </c>
      <c r="H1796" s="666"/>
      <c r="I1796" s="286" t="s">
        <v>520</v>
      </c>
      <c r="J1796" s="287"/>
      <c r="K1796" s="288" t="s">
        <v>521</v>
      </c>
      <c r="L1796" s="289"/>
      <c r="M1796" s="1897"/>
      <c r="N1796" s="420"/>
      <c r="P1796" s="392"/>
      <c r="Q1796" s="391"/>
      <c r="R1796" s="393"/>
    </row>
    <row r="1797" spans="1:21" ht="30" customHeight="1" x14ac:dyDescent="0.25">
      <c r="A1797" s="20">
        <v>21710</v>
      </c>
      <c r="B1797" s="503" t="s">
        <v>1489</v>
      </c>
      <c r="C1797" s="504"/>
      <c r="D1797" s="505"/>
      <c r="E1797" s="405">
        <v>152.35</v>
      </c>
      <c r="F1797" s="729">
        <v>17000</v>
      </c>
      <c r="G1797" s="680" t="s">
        <v>9</v>
      </c>
      <c r="H1797" s="680"/>
      <c r="I1797" s="295">
        <f>+'MILCON Inflation Table'!$F$13</f>
        <v>1.0397823869432166</v>
      </c>
      <c r="J1797" s="296"/>
      <c r="K1797" s="304">
        <f>+E1797*I1797</f>
        <v>158.41084665079904</v>
      </c>
      <c r="L1797" s="290" t="s">
        <v>9</v>
      </c>
      <c r="M1797" s="1067"/>
      <c r="N1797" s="1913"/>
      <c r="O1797"/>
      <c r="P1797" s="392"/>
      <c r="Q1797" s="391"/>
      <c r="R1797" s="393"/>
    </row>
    <row r="1798" spans="1:21" ht="30" customHeight="1" thickBot="1" x14ac:dyDescent="0.3">
      <c r="A1798" s="20"/>
      <c r="B1798" s="503"/>
      <c r="C1798" s="504"/>
      <c r="D1798" s="505"/>
      <c r="E1798" s="465"/>
      <c r="F1798" s="763"/>
      <c r="G1798" s="465"/>
      <c r="H1798" s="764"/>
      <c r="I1798" s="18"/>
      <c r="J1798" s="185" t="s">
        <v>358</v>
      </c>
      <c r="K1798" s="305">
        <f>AVERAGE(K1797:K1797)</f>
        <v>158.41084665079904</v>
      </c>
      <c r="L1798" s="290" t="s">
        <v>9</v>
      </c>
      <c r="M1798" s="1067"/>
      <c r="N1798" s="1913"/>
      <c r="O1798"/>
      <c r="P1798" s="392"/>
      <c r="Q1798" s="391"/>
      <c r="R1798" s="393"/>
    </row>
    <row r="1799" spans="1:21" ht="30" customHeight="1" thickBot="1" x14ac:dyDescent="0.3">
      <c r="A1799" s="76"/>
      <c r="B1799" s="77"/>
      <c r="C1799" s="77"/>
      <c r="D1799" s="77"/>
      <c r="E1799" s="77"/>
      <c r="F1799" s="77"/>
      <c r="G1799" s="77"/>
      <c r="H1799" s="77"/>
      <c r="I1799" s="77"/>
      <c r="J1799" s="77"/>
      <c r="K1799" s="77"/>
      <c r="L1799" s="78"/>
      <c r="M1799" s="1067"/>
      <c r="N1799" s="420"/>
      <c r="O1799"/>
      <c r="P1799" s="392"/>
      <c r="Q1799" s="391"/>
      <c r="R1799" s="393"/>
    </row>
    <row r="1800" spans="1:21" ht="30" customHeight="1" x14ac:dyDescent="0.25">
      <c r="A1800" s="525" t="s">
        <v>288</v>
      </c>
      <c r="B1800" s="525">
        <v>2173</v>
      </c>
      <c r="C1800" s="484" t="s">
        <v>1491</v>
      </c>
      <c r="D1800" s="485"/>
      <c r="E1800" s="65" t="s">
        <v>291</v>
      </c>
      <c r="F1800" s="88" t="s">
        <v>11</v>
      </c>
      <c r="G1800" s="34" t="s">
        <v>290</v>
      </c>
      <c r="H1800" s="37">
        <v>1</v>
      </c>
      <c r="I1800" s="36" t="s">
        <v>292</v>
      </c>
      <c r="J1800" s="747" t="s">
        <v>883</v>
      </c>
      <c r="K1800" s="747"/>
      <c r="L1800" s="748"/>
      <c r="M1800" s="1067"/>
      <c r="N1800" s="420"/>
      <c r="O1800"/>
      <c r="P1800" s="392"/>
      <c r="Q1800" s="391"/>
      <c r="R1800" s="393"/>
    </row>
    <row r="1801" spans="1:21" ht="30" customHeight="1" x14ac:dyDescent="0.25">
      <c r="A1801" s="185" t="s">
        <v>529</v>
      </c>
      <c r="B1801" s="1052" t="s">
        <v>560</v>
      </c>
      <c r="C1801" s="1052"/>
      <c r="D1801" s="1052"/>
      <c r="E1801" s="185" t="s">
        <v>519</v>
      </c>
      <c r="F1801" s="185" t="s">
        <v>561</v>
      </c>
      <c r="G1801" s="1053" t="s">
        <v>562</v>
      </c>
      <c r="H1801" s="1053"/>
      <c r="I1801" s="181" t="s">
        <v>530</v>
      </c>
      <c r="J1801" s="181"/>
      <c r="K1801" s="288" t="s">
        <v>521</v>
      </c>
      <c r="L1801" s="289"/>
      <c r="M1801" s="1067"/>
      <c r="N1801" s="420"/>
      <c r="O1801"/>
      <c r="P1801" s="392"/>
      <c r="Q1801" s="391"/>
      <c r="R1801" s="393"/>
    </row>
    <row r="1802" spans="1:21" ht="30" customHeight="1" x14ac:dyDescent="0.25">
      <c r="A1802" s="20" t="s">
        <v>531</v>
      </c>
      <c r="B1802" s="191" t="s">
        <v>1492</v>
      </c>
      <c r="C1802" s="191"/>
      <c r="D1802" s="191"/>
      <c r="E1802" s="405">
        <v>950</v>
      </c>
      <c r="F1802" s="20" t="s">
        <v>576</v>
      </c>
      <c r="G1802" s="522">
        <v>100</v>
      </c>
      <c r="H1802" s="20" t="s">
        <v>817</v>
      </c>
      <c r="I1802" s="751">
        <v>1.03</v>
      </c>
      <c r="J1802" s="751"/>
      <c r="K1802" s="405">
        <f>+E1802*G1802*I1802</f>
        <v>97850</v>
      </c>
      <c r="L1802" s="20" t="s">
        <v>11</v>
      </c>
      <c r="M1802" s="1067"/>
      <c r="N1802" s="420"/>
      <c r="O1802"/>
      <c r="P1802" s="392"/>
      <c r="Q1802" s="391"/>
      <c r="R1802" s="393"/>
    </row>
    <row r="1803" spans="1:21" ht="30" customHeight="1" x14ac:dyDescent="0.25">
      <c r="A1803" s="20"/>
      <c r="B1803" s="191" t="s">
        <v>1493</v>
      </c>
      <c r="C1803" s="191"/>
      <c r="D1803" s="191"/>
      <c r="E1803" s="405"/>
      <c r="F1803" s="338" t="s">
        <v>533</v>
      </c>
      <c r="G1803" s="339" t="s">
        <v>534</v>
      </c>
      <c r="H1803" s="339"/>
      <c r="I1803" s="339"/>
      <c r="J1803" s="339"/>
      <c r="K1803" s="340">
        <v>1.07</v>
      </c>
      <c r="L1803" s="10"/>
      <c r="M1803" s="670"/>
      <c r="N1803" s="671"/>
      <c r="O1803" s="43"/>
      <c r="P1803" s="672"/>
      <c r="Q1803" s="671"/>
      <c r="R1803" s="673"/>
    </row>
    <row r="1804" spans="1:21" ht="30" customHeight="1" x14ac:dyDescent="0.25">
      <c r="A1804" s="20"/>
      <c r="B1804" s="410"/>
      <c r="C1804" s="410"/>
      <c r="D1804" s="410"/>
      <c r="E1804" s="405"/>
      <c r="F1804" s="343"/>
      <c r="G1804" s="344" t="s">
        <v>535</v>
      </c>
      <c r="H1804" s="344"/>
      <c r="I1804" s="344"/>
      <c r="J1804" s="344"/>
      <c r="K1804" s="340">
        <v>1.02</v>
      </c>
      <c r="L1804" s="10"/>
      <c r="M1804" s="670"/>
      <c r="N1804" s="671"/>
      <c r="O1804" s="43"/>
      <c r="P1804" s="672"/>
      <c r="Q1804" s="671"/>
      <c r="R1804" s="673"/>
    </row>
    <row r="1805" spans="1:21" ht="30" customHeight="1" x14ac:dyDescent="0.25">
      <c r="A1805" s="20"/>
      <c r="B1805" s="20"/>
      <c r="C1805" s="18"/>
      <c r="D1805" s="18"/>
      <c r="E1805" s="18"/>
      <c r="F1805" s="18"/>
      <c r="G1805" s="18"/>
      <c r="H1805" s="18"/>
      <c r="I1805" s="18"/>
      <c r="J1805" s="20" t="s">
        <v>358</v>
      </c>
      <c r="K1805" s="23">
        <f>+K1802*K1803/K1804</f>
        <v>102646.56862745098</v>
      </c>
      <c r="L1805" s="20" t="s">
        <v>11</v>
      </c>
      <c r="M1805" s="1067"/>
      <c r="N1805" s="420"/>
      <c r="O1805"/>
      <c r="P1805" s="392"/>
      <c r="Q1805" s="391"/>
      <c r="R1805" s="393"/>
    </row>
    <row r="1806" spans="1:21" ht="30" customHeight="1" thickBot="1" x14ac:dyDescent="0.3">
      <c r="A1806" s="20"/>
      <c r="B1806" s="20"/>
      <c r="C1806" s="18"/>
      <c r="D1806" s="18"/>
      <c r="E1806" s="18"/>
      <c r="F1806" s="18"/>
      <c r="G1806" s="413" t="s">
        <v>537</v>
      </c>
      <c r="H1806" s="18"/>
      <c r="I1806" s="18"/>
      <c r="J1806" s="361">
        <f>VLOOKUP(B1800,'Mil Cost Premiums for RUCs'!$A$4:$R$265,18,FALSE)</f>
        <v>1.0485669999999998</v>
      </c>
      <c r="K1806" s="23">
        <f>+K1805*J1806</f>
        <v>107631.80452598038</v>
      </c>
      <c r="L1806" s="20" t="s">
        <v>11</v>
      </c>
      <c r="M1806" s="1067"/>
      <c r="N1806" s="420"/>
      <c r="O1806"/>
      <c r="P1806" s="392"/>
      <c r="Q1806" s="391"/>
      <c r="R1806" s="393"/>
    </row>
    <row r="1807" spans="1:21" ht="30" customHeight="1" thickBot="1" x14ac:dyDescent="0.3">
      <c r="A1807" s="76"/>
      <c r="B1807" s="77"/>
      <c r="C1807" s="77"/>
      <c r="D1807" s="77"/>
      <c r="E1807" s="77"/>
      <c r="F1807" s="77"/>
      <c r="G1807" s="77"/>
      <c r="H1807" s="77"/>
      <c r="I1807" s="77"/>
      <c r="J1807" s="77"/>
      <c r="K1807" s="77"/>
      <c r="L1807" s="78"/>
      <c r="M1807" s="1067"/>
      <c r="N1807" s="420"/>
      <c r="O1807"/>
      <c r="P1807" s="392"/>
      <c r="Q1807" s="391"/>
      <c r="R1807" s="393"/>
    </row>
    <row r="1808" spans="1:21" s="41" customFormat="1" ht="30" customHeight="1" x14ac:dyDescent="0.25">
      <c r="A1808" s="30" t="s">
        <v>288</v>
      </c>
      <c r="B1808" s="208">
        <v>2181</v>
      </c>
      <c r="C1808" s="282" t="s">
        <v>1494</v>
      </c>
      <c r="D1808" s="283"/>
      <c r="E1808" s="177" t="s">
        <v>291</v>
      </c>
      <c r="F1808" s="178" t="s">
        <v>9</v>
      </c>
      <c r="G1808" s="123" t="s">
        <v>375</v>
      </c>
      <c r="H1808" s="769">
        <v>8962</v>
      </c>
      <c r="I1808" s="177" t="s">
        <v>292</v>
      </c>
      <c r="J1808" s="38" t="s">
        <v>516</v>
      </c>
      <c r="K1808" s="39"/>
      <c r="L1808" s="40"/>
      <c r="M1808" s="341"/>
      <c r="N1808" s="25"/>
      <c r="O1808" s="27"/>
      <c r="P1808"/>
      <c r="Q1808"/>
      <c r="R1808"/>
      <c r="S1808"/>
      <c r="T1808"/>
    </row>
    <row r="1809" spans="1:21" s="49" customFormat="1" ht="30" customHeight="1" x14ac:dyDescent="0.25">
      <c r="A1809" s="44" t="s">
        <v>517</v>
      </c>
      <c r="B1809" s="180" t="s">
        <v>295</v>
      </c>
      <c r="C1809" s="180"/>
      <c r="D1809" s="180"/>
      <c r="E1809" s="182" t="s">
        <v>518</v>
      </c>
      <c r="F1809" s="285" t="s">
        <v>519</v>
      </c>
      <c r="G1809" s="181"/>
      <c r="H1809" s="181"/>
      <c r="I1809" s="286" t="s">
        <v>520</v>
      </c>
      <c r="J1809" s="287"/>
      <c r="K1809" s="288" t="s">
        <v>521</v>
      </c>
      <c r="L1809" s="289"/>
      <c r="M1809" s="502"/>
      <c r="N1809" s="502"/>
      <c r="O1809" s="27"/>
      <c r="P1809" s="50"/>
      <c r="Q1809" s="50"/>
      <c r="R1809" s="50"/>
      <c r="S1809" s="212"/>
      <c r="T1809" s="212"/>
    </row>
    <row r="1810" spans="1:21" ht="30" customHeight="1" x14ac:dyDescent="0.25">
      <c r="A1810" s="65" t="s">
        <v>522</v>
      </c>
      <c r="B1810" s="214" t="s">
        <v>1416</v>
      </c>
      <c r="C1810" s="214"/>
      <c r="D1810" s="214"/>
      <c r="E1810" s="291">
        <v>8200</v>
      </c>
      <c r="F1810" s="292">
        <v>285</v>
      </c>
      <c r="G1810" s="293"/>
      <c r="H1810" s="294"/>
      <c r="I1810" s="295" t="s">
        <v>524</v>
      </c>
      <c r="J1810" s="296"/>
      <c r="K1810" s="292">
        <f>+F1810</f>
        <v>285</v>
      </c>
      <c r="L1810" s="290" t="s">
        <v>9</v>
      </c>
      <c r="M1810" s="43"/>
      <c r="P1810" s="43"/>
      <c r="Q1810" s="43"/>
      <c r="R1810" s="43"/>
      <c r="S1810" s="60"/>
      <c r="T1810" s="60"/>
    </row>
    <row r="1811" spans="1:21" ht="30" customHeight="1" thickBot="1" x14ac:dyDescent="0.3">
      <c r="A1811" s="61"/>
      <c r="B1811" s="191"/>
      <c r="C1811" s="191"/>
      <c r="D1811" s="191"/>
      <c r="E1811" s="297"/>
      <c r="F1811" s="298"/>
      <c r="G1811" s="298"/>
      <c r="H1811" s="299"/>
      <c r="I1811" s="18"/>
      <c r="J1811" s="185" t="s">
        <v>358</v>
      </c>
      <c r="K1811" s="301">
        <f>+K1810</f>
        <v>285</v>
      </c>
      <c r="L1811" s="20" t="s">
        <v>9</v>
      </c>
      <c r="N1811" s="342"/>
      <c r="O1811" s="42"/>
      <c r="P1811" s="41"/>
      <c r="Q1811" s="41"/>
      <c r="R1811" s="41"/>
      <c r="S1811" s="41"/>
      <c r="T1811" s="41"/>
      <c r="U1811" s="43"/>
    </row>
    <row r="1812" spans="1:21" ht="30" customHeight="1" thickBot="1" x14ac:dyDescent="0.3">
      <c r="A1812" s="76"/>
      <c r="B1812" s="77"/>
      <c r="C1812" s="77"/>
      <c r="D1812" s="77"/>
      <c r="E1812" s="77"/>
      <c r="F1812" s="77"/>
      <c r="G1812" s="77"/>
      <c r="H1812" s="77"/>
      <c r="I1812" s="77"/>
      <c r="J1812" s="77"/>
      <c r="K1812" s="77"/>
      <c r="L1812" s="78"/>
      <c r="U1812" s="43"/>
    </row>
    <row r="1813" spans="1:21" s="41" customFormat="1" ht="30" customHeight="1" x14ac:dyDescent="0.25">
      <c r="A1813" s="30" t="s">
        <v>288</v>
      </c>
      <c r="B1813" s="208">
        <v>2182</v>
      </c>
      <c r="C1813" s="282" t="s">
        <v>1495</v>
      </c>
      <c r="D1813" s="283"/>
      <c r="E1813" s="177" t="s">
        <v>291</v>
      </c>
      <c r="F1813" s="178" t="s">
        <v>9</v>
      </c>
      <c r="G1813" s="123" t="s">
        <v>375</v>
      </c>
      <c r="H1813" s="769">
        <v>6882</v>
      </c>
      <c r="I1813" s="177" t="s">
        <v>292</v>
      </c>
      <c r="J1813" s="38" t="s">
        <v>516</v>
      </c>
      <c r="K1813" s="39"/>
      <c r="L1813" s="40"/>
      <c r="M1813" s="341"/>
      <c r="N1813" s="25"/>
      <c r="O1813" s="27"/>
      <c r="P1813"/>
      <c r="Q1813"/>
      <c r="R1813"/>
      <c r="S1813"/>
      <c r="T1813"/>
    </row>
    <row r="1814" spans="1:21" s="49" customFormat="1" ht="30" customHeight="1" x14ac:dyDescent="0.25">
      <c r="A1814" s="44" t="s">
        <v>517</v>
      </c>
      <c r="B1814" s="180" t="s">
        <v>295</v>
      </c>
      <c r="C1814" s="180"/>
      <c r="D1814" s="180"/>
      <c r="E1814" s="182" t="s">
        <v>518</v>
      </c>
      <c r="F1814" s="285" t="s">
        <v>519</v>
      </c>
      <c r="G1814" s="181"/>
      <c r="H1814" s="181"/>
      <c r="I1814" s="286" t="s">
        <v>520</v>
      </c>
      <c r="J1814" s="287"/>
      <c r="K1814" s="288" t="s">
        <v>521</v>
      </c>
      <c r="L1814" s="289"/>
      <c r="M1814" s="502"/>
      <c r="N1814" s="502"/>
      <c r="O1814" s="27"/>
      <c r="P1814" s="50"/>
      <c r="Q1814" s="50"/>
      <c r="R1814" s="50"/>
      <c r="S1814" s="212"/>
      <c r="T1814" s="212"/>
    </row>
    <row r="1815" spans="1:21" ht="30" customHeight="1" x14ac:dyDescent="0.25">
      <c r="A1815" s="65" t="s">
        <v>522</v>
      </c>
      <c r="B1815" s="214" t="s">
        <v>1416</v>
      </c>
      <c r="C1815" s="214"/>
      <c r="D1815" s="214"/>
      <c r="E1815" s="291">
        <v>8200</v>
      </c>
      <c r="F1815" s="292">
        <v>285</v>
      </c>
      <c r="G1815" s="293"/>
      <c r="H1815" s="294"/>
      <c r="I1815" s="295" t="s">
        <v>524</v>
      </c>
      <c r="J1815" s="296"/>
      <c r="K1815" s="292">
        <f>+F1815</f>
        <v>285</v>
      </c>
      <c r="L1815" s="290" t="s">
        <v>9</v>
      </c>
      <c r="M1815" s="43"/>
      <c r="P1815" s="43"/>
      <c r="Q1815" s="43"/>
      <c r="R1815" s="43"/>
      <c r="S1815" s="60"/>
      <c r="T1815" s="60"/>
    </row>
    <row r="1816" spans="1:21" ht="30" customHeight="1" thickBot="1" x14ac:dyDescent="0.3">
      <c r="A1816" s="61"/>
      <c r="B1816" s="191"/>
      <c r="C1816" s="191"/>
      <c r="D1816" s="191"/>
      <c r="E1816" s="297"/>
      <c r="F1816" s="298"/>
      <c r="G1816" s="298"/>
      <c r="H1816" s="299"/>
      <c r="I1816" s="18"/>
      <c r="J1816" s="185" t="s">
        <v>358</v>
      </c>
      <c r="K1816" s="301">
        <f>+K1815</f>
        <v>285</v>
      </c>
      <c r="L1816" s="20" t="s">
        <v>9</v>
      </c>
      <c r="M1816" s="419"/>
      <c r="N1816" s="420"/>
      <c r="O1816"/>
      <c r="P1816" s="392"/>
      <c r="Q1816" s="391"/>
      <c r="R1816" s="393"/>
    </row>
    <row r="1817" spans="1:21" ht="30" customHeight="1" thickBot="1" x14ac:dyDescent="0.3">
      <c r="A1817" s="76"/>
      <c r="B1817" s="77"/>
      <c r="C1817" s="77"/>
      <c r="D1817" s="77"/>
      <c r="E1817" s="77"/>
      <c r="F1817" s="77"/>
      <c r="G1817" s="77"/>
      <c r="H1817" s="77"/>
      <c r="I1817" s="77"/>
      <c r="J1817" s="77"/>
      <c r="K1817" s="77"/>
      <c r="L1817" s="78"/>
      <c r="M1817" s="419"/>
      <c r="N1817" s="420"/>
      <c r="O1817"/>
      <c r="P1817" s="392"/>
      <c r="Q1817" s="391"/>
      <c r="R1817" s="393"/>
    </row>
    <row r="1818" spans="1:21" ht="30" customHeight="1" x14ac:dyDescent="0.25">
      <c r="A1818" s="30" t="s">
        <v>288</v>
      </c>
      <c r="B1818" s="208">
        <v>2183</v>
      </c>
      <c r="C1818" s="282" t="s">
        <v>1496</v>
      </c>
      <c r="D1818" s="283"/>
      <c r="E1818" s="177" t="s">
        <v>291</v>
      </c>
      <c r="F1818" s="178" t="s">
        <v>9</v>
      </c>
      <c r="G1818" s="123" t="s">
        <v>375</v>
      </c>
      <c r="H1818" s="769">
        <v>7146</v>
      </c>
      <c r="I1818" s="177" t="s">
        <v>292</v>
      </c>
      <c r="J1818" s="38" t="s">
        <v>516</v>
      </c>
      <c r="K1818" s="39"/>
      <c r="L1818" s="40"/>
      <c r="M1818" s="419"/>
      <c r="N1818" s="420"/>
      <c r="O1818"/>
      <c r="P1818" s="392"/>
      <c r="Q1818" s="391"/>
      <c r="R1818" s="393"/>
    </row>
    <row r="1819" spans="1:21" s="49" customFormat="1" ht="30" customHeight="1" x14ac:dyDescent="0.25">
      <c r="A1819" s="44" t="s">
        <v>517</v>
      </c>
      <c r="B1819" s="180" t="s">
        <v>295</v>
      </c>
      <c r="C1819" s="180"/>
      <c r="D1819" s="180"/>
      <c r="E1819" s="182" t="s">
        <v>518</v>
      </c>
      <c r="F1819" s="285" t="s">
        <v>519</v>
      </c>
      <c r="G1819" s="181"/>
      <c r="H1819" s="181"/>
      <c r="I1819" s="286" t="s">
        <v>520</v>
      </c>
      <c r="J1819" s="287"/>
      <c r="K1819" s="288" t="s">
        <v>521</v>
      </c>
      <c r="L1819" s="289"/>
      <c r="M1819" s="425"/>
      <c r="N1819" s="420"/>
      <c r="P1819" s="412"/>
      <c r="Q1819" s="391"/>
      <c r="R1819" s="393"/>
    </row>
    <row r="1820" spans="1:21" ht="30" customHeight="1" x14ac:dyDescent="0.25">
      <c r="A1820" s="65" t="s">
        <v>522</v>
      </c>
      <c r="B1820" s="214" t="s">
        <v>1416</v>
      </c>
      <c r="C1820" s="214"/>
      <c r="D1820" s="214"/>
      <c r="E1820" s="291">
        <v>8200</v>
      </c>
      <c r="F1820" s="292">
        <v>285</v>
      </c>
      <c r="G1820" s="293"/>
      <c r="H1820" s="294"/>
      <c r="I1820" s="295" t="s">
        <v>524</v>
      </c>
      <c r="J1820" s="296"/>
      <c r="K1820" s="292">
        <f>+F1820</f>
        <v>285</v>
      </c>
      <c r="L1820" s="290" t="s">
        <v>9</v>
      </c>
      <c r="M1820" s="419"/>
      <c r="N1820" s="420"/>
      <c r="O1820"/>
      <c r="P1820" s="412"/>
      <c r="Q1820" s="391"/>
      <c r="R1820" s="393"/>
    </row>
    <row r="1821" spans="1:21" ht="30" customHeight="1" thickBot="1" x14ac:dyDescent="0.3">
      <c r="A1821" s="61"/>
      <c r="B1821" s="191"/>
      <c r="C1821" s="191"/>
      <c r="D1821" s="191"/>
      <c r="E1821" s="297"/>
      <c r="F1821" s="298"/>
      <c r="G1821" s="298"/>
      <c r="H1821" s="299"/>
      <c r="I1821" s="18"/>
      <c r="J1821" s="185" t="s">
        <v>358</v>
      </c>
      <c r="K1821" s="301">
        <f>+K1820</f>
        <v>285</v>
      </c>
      <c r="L1821" s="20" t="s">
        <v>9</v>
      </c>
      <c r="M1821" s="670"/>
      <c r="N1821" s="671"/>
      <c r="O1821" s="43"/>
      <c r="P1821" s="672"/>
      <c r="Q1821" s="671"/>
      <c r="R1821" s="673"/>
    </row>
    <row r="1822" spans="1:21" ht="30" customHeight="1" thickBot="1" x14ac:dyDescent="0.3">
      <c r="A1822" s="76"/>
      <c r="B1822" s="77"/>
      <c r="C1822" s="77"/>
      <c r="D1822" s="77"/>
      <c r="E1822" s="77"/>
      <c r="F1822" s="77"/>
      <c r="G1822" s="77"/>
      <c r="H1822" s="77"/>
      <c r="I1822" s="77"/>
      <c r="J1822" s="77"/>
      <c r="K1822" s="77"/>
      <c r="L1822" s="78"/>
      <c r="M1822" s="670"/>
      <c r="N1822" s="671"/>
      <c r="O1822" s="43"/>
      <c r="P1822" s="672"/>
      <c r="Q1822" s="671"/>
      <c r="R1822" s="673"/>
    </row>
    <row r="1823" spans="1:21" ht="30" customHeight="1" x14ac:dyDescent="0.25">
      <c r="A1823" s="207" t="s">
        <v>288</v>
      </c>
      <c r="B1823" s="208">
        <v>2184</v>
      </c>
      <c r="C1823" s="209" t="s">
        <v>1497</v>
      </c>
      <c r="D1823" s="210"/>
      <c r="E1823" s="177" t="s">
        <v>291</v>
      </c>
      <c r="F1823" s="178" t="s">
        <v>9</v>
      </c>
      <c r="G1823" s="123" t="s">
        <v>375</v>
      </c>
      <c r="H1823" s="769">
        <v>12652</v>
      </c>
      <c r="I1823" s="177" t="s">
        <v>292</v>
      </c>
      <c r="J1823" s="38" t="s">
        <v>1498</v>
      </c>
      <c r="K1823" s="39"/>
      <c r="L1823" s="40"/>
      <c r="M1823" s="419"/>
      <c r="N1823" s="420"/>
      <c r="O1823"/>
      <c r="P1823" s="412"/>
      <c r="Q1823" s="391"/>
      <c r="R1823" s="393"/>
    </row>
    <row r="1824" spans="1:21" ht="30" customHeight="1" x14ac:dyDescent="0.25">
      <c r="A1824" s="181"/>
      <c r="B1824" s="180" t="s">
        <v>295</v>
      </c>
      <c r="C1824" s="180"/>
      <c r="D1824" s="180"/>
      <c r="E1824" s="181" t="s">
        <v>518</v>
      </c>
      <c r="F1824" s="285" t="s">
        <v>519</v>
      </c>
      <c r="G1824" s="286"/>
      <c r="H1824" s="287"/>
      <c r="I1824" s="286" t="s">
        <v>520</v>
      </c>
      <c r="J1824" s="287"/>
      <c r="K1824" s="288" t="s">
        <v>521</v>
      </c>
      <c r="L1824" s="289"/>
      <c r="P1824" s="43"/>
      <c r="Q1824" s="43"/>
      <c r="R1824" s="43"/>
      <c r="S1824" s="60"/>
      <c r="T1824" s="60"/>
      <c r="U1824" s="43"/>
    </row>
    <row r="1825" spans="1:21" ht="30" customHeight="1" x14ac:dyDescent="0.25">
      <c r="A1825" s="147" t="s">
        <v>522</v>
      </c>
      <c r="B1825" s="214" t="s">
        <v>1499</v>
      </c>
      <c r="C1825" s="214"/>
      <c r="D1825" s="214"/>
      <c r="E1825" s="1071">
        <v>6600</v>
      </c>
      <c r="F1825" s="292">
        <v>198</v>
      </c>
      <c r="G1825" s="1072"/>
      <c r="H1825" s="1073"/>
      <c r="I1825" s="295">
        <f>+'MILCON Inflation Table'!F9</f>
        <v>1.2106096595407758</v>
      </c>
      <c r="J1825" s="296"/>
      <c r="K1825" s="1074">
        <f>+F1825*I1825</f>
        <v>239.70071258907362</v>
      </c>
      <c r="L1825" s="147" t="s">
        <v>9</v>
      </c>
      <c r="P1825" s="43"/>
      <c r="Q1825" s="43"/>
      <c r="R1825" s="43"/>
      <c r="S1825" s="60"/>
      <c r="T1825" s="60"/>
      <c r="U1825" s="43"/>
    </row>
    <row r="1826" spans="1:21" s="41" customFormat="1" ht="30" customHeight="1" thickBot="1" x14ac:dyDescent="0.3">
      <c r="A1826" s="20"/>
      <c r="B1826" s="191" t="s">
        <v>1500</v>
      </c>
      <c r="C1826" s="191"/>
      <c r="D1826" s="191"/>
      <c r="E1826" s="297"/>
      <c r="F1826" s="298"/>
      <c r="G1826" s="298"/>
      <c r="H1826" s="299"/>
      <c r="I1826" s="18"/>
      <c r="J1826" s="185" t="s">
        <v>358</v>
      </c>
      <c r="K1826" s="1075">
        <f>+K1825</f>
        <v>239.70071258907362</v>
      </c>
      <c r="L1826" s="20" t="s">
        <v>9</v>
      </c>
      <c r="M1826" s="341"/>
      <c r="N1826" s="342"/>
      <c r="O1826" s="42"/>
    </row>
    <row r="1827" spans="1:21" s="49" customFormat="1" ht="30" customHeight="1" thickBot="1" x14ac:dyDescent="0.3">
      <c r="A1827" s="1076"/>
      <c r="B1827" s="1077"/>
      <c r="C1827" s="1077"/>
      <c r="D1827" s="1077"/>
      <c r="E1827" s="1077"/>
      <c r="F1827" s="1077"/>
      <c r="G1827" s="1077"/>
      <c r="H1827" s="1077"/>
      <c r="I1827" s="1077"/>
      <c r="J1827" s="1077"/>
      <c r="K1827" s="1077"/>
      <c r="L1827" s="1078"/>
      <c r="M1827" s="502"/>
      <c r="N1827" s="502"/>
      <c r="O1827" s="27"/>
    </row>
    <row r="1828" spans="1:21" ht="30" customHeight="1" x14ac:dyDescent="0.25">
      <c r="A1828" s="30" t="s">
        <v>288</v>
      </c>
      <c r="B1828" s="208">
        <v>2185</v>
      </c>
      <c r="C1828" s="282" t="s">
        <v>1501</v>
      </c>
      <c r="D1828" s="283"/>
      <c r="E1828" s="177" t="s">
        <v>291</v>
      </c>
      <c r="F1828" s="178" t="s">
        <v>9</v>
      </c>
      <c r="G1828" s="123" t="s">
        <v>375</v>
      </c>
      <c r="H1828" s="302">
        <v>5451</v>
      </c>
      <c r="I1828" s="177" t="s">
        <v>292</v>
      </c>
      <c r="J1828" s="38" t="s">
        <v>623</v>
      </c>
      <c r="K1828" s="39"/>
      <c r="L1828" s="40"/>
      <c r="M1828" s="1932"/>
      <c r="N1828" s="213"/>
    </row>
    <row r="1829" spans="1:21" ht="30" customHeight="1" x14ac:dyDescent="0.25">
      <c r="A1829" s="44" t="s">
        <v>517</v>
      </c>
      <c r="B1829" s="180" t="s">
        <v>295</v>
      </c>
      <c r="C1829" s="180"/>
      <c r="D1829" s="180"/>
      <c r="E1829" s="285" t="s">
        <v>519</v>
      </c>
      <c r="F1829" s="181" t="s">
        <v>518</v>
      </c>
      <c r="G1829" s="665" t="s">
        <v>2</v>
      </c>
      <c r="H1829" s="666"/>
      <c r="I1829" s="286" t="s">
        <v>520</v>
      </c>
      <c r="J1829" s="287"/>
      <c r="K1829" s="288" t="s">
        <v>521</v>
      </c>
      <c r="L1829" s="289"/>
      <c r="M1829" s="1067"/>
      <c r="N1829" s="420"/>
      <c r="P1829" s="43"/>
      <c r="Q1829" s="43"/>
      <c r="R1829" s="43"/>
      <c r="S1829" s="60"/>
      <c r="T1829" s="60"/>
      <c r="U1829" s="43"/>
    </row>
    <row r="1830" spans="1:21" ht="30" customHeight="1" x14ac:dyDescent="0.25">
      <c r="A1830" s="61">
        <v>44224</v>
      </c>
      <c r="B1830" s="503" t="s">
        <v>1502</v>
      </c>
      <c r="C1830" s="504"/>
      <c r="D1830" s="505"/>
      <c r="E1830" s="405">
        <v>114</v>
      </c>
      <c r="F1830" s="729">
        <v>2700</v>
      </c>
      <c r="G1830" s="680" t="s">
        <v>9</v>
      </c>
      <c r="H1830" s="680"/>
      <c r="I1830" s="295">
        <f>+'MILCON Inflation Table'!F17</f>
        <v>0.9432470865927236</v>
      </c>
      <c r="J1830" s="296"/>
      <c r="K1830" s="304">
        <f>+E1830*I1830</f>
        <v>107.53016787157048</v>
      </c>
      <c r="L1830" s="290" t="s">
        <v>9</v>
      </c>
      <c r="P1830" s="43"/>
      <c r="Q1830" s="43"/>
      <c r="R1830" s="43"/>
      <c r="S1830" s="60"/>
      <c r="T1830" s="60"/>
      <c r="U1830" s="43"/>
    </row>
    <row r="1831" spans="1:21" s="41" customFormat="1" ht="30" customHeight="1" thickBot="1" x14ac:dyDescent="0.3">
      <c r="A1831" s="61"/>
      <c r="B1831" s="503"/>
      <c r="C1831" s="504"/>
      <c r="D1831" s="505"/>
      <c r="E1831" s="465"/>
      <c r="F1831" s="763"/>
      <c r="G1831" s="465"/>
      <c r="H1831" s="764"/>
      <c r="I1831" s="18"/>
      <c r="J1831" s="185" t="s">
        <v>358</v>
      </c>
      <c r="K1831" s="305">
        <f>AVERAGE(K1830:K1830)</f>
        <v>107.53016787157048</v>
      </c>
      <c r="L1831" s="290" t="s">
        <v>9</v>
      </c>
      <c r="M1831" s="341"/>
      <c r="N1831" s="342"/>
      <c r="O1831" s="42"/>
    </row>
    <row r="1832" spans="1:21" s="49" customFormat="1" ht="30" customHeight="1" thickBot="1" x14ac:dyDescent="0.3">
      <c r="A1832" s="76"/>
      <c r="B1832" s="77"/>
      <c r="C1832" s="77"/>
      <c r="D1832" s="77"/>
      <c r="E1832" s="77"/>
      <c r="F1832" s="77"/>
      <c r="G1832" s="77"/>
      <c r="H1832" s="77"/>
      <c r="I1832" s="77"/>
      <c r="J1832" s="77"/>
      <c r="K1832" s="77"/>
      <c r="L1832" s="78"/>
      <c r="M1832" s="502"/>
      <c r="N1832" s="502"/>
      <c r="O1832" s="27"/>
    </row>
    <row r="1833" spans="1:21" ht="30" customHeight="1" x14ac:dyDescent="0.25">
      <c r="A1833" s="1079" t="s">
        <v>288</v>
      </c>
      <c r="B1833" s="1080">
        <v>2191</v>
      </c>
      <c r="C1833" s="415" t="s">
        <v>1503</v>
      </c>
      <c r="D1833" s="416"/>
      <c r="E1833" s="1081" t="s">
        <v>291</v>
      </c>
      <c r="F1833" s="1082" t="s">
        <v>9</v>
      </c>
      <c r="G1833" s="123" t="s">
        <v>375</v>
      </c>
      <c r="H1833" s="1083">
        <v>5696</v>
      </c>
      <c r="I1833" s="1081" t="s">
        <v>292</v>
      </c>
      <c r="J1833" s="747" t="s">
        <v>1504</v>
      </c>
      <c r="K1833" s="747"/>
      <c r="L1833" s="748"/>
      <c r="M1833" s="1932"/>
      <c r="N1833" s="213"/>
    </row>
    <row r="1834" spans="1:21" ht="30" customHeight="1" x14ac:dyDescent="0.25">
      <c r="A1834" s="421" t="s">
        <v>529</v>
      </c>
      <c r="B1834" s="569" t="s">
        <v>560</v>
      </c>
      <c r="C1834" s="570"/>
      <c r="D1834" s="571"/>
      <c r="E1834" s="546" t="s">
        <v>519</v>
      </c>
      <c r="F1834" s="546" t="s">
        <v>561</v>
      </c>
      <c r="G1834" s="1084" t="s">
        <v>562</v>
      </c>
      <c r="H1834" s="1085"/>
      <c r="I1834" s="424" t="s">
        <v>530</v>
      </c>
      <c r="J1834" s="424"/>
      <c r="K1834" s="288" t="s">
        <v>521</v>
      </c>
      <c r="L1834" s="289"/>
      <c r="M1834" s="1067"/>
      <c r="N1834" s="420"/>
      <c r="P1834" s="43"/>
      <c r="Q1834" s="43"/>
      <c r="R1834" s="43"/>
      <c r="S1834" s="60"/>
      <c r="T1834" s="60"/>
      <c r="U1834" s="43"/>
    </row>
    <row r="1835" spans="1:21" ht="45" customHeight="1" x14ac:dyDescent="0.25">
      <c r="A1835" s="10" t="s">
        <v>1309</v>
      </c>
      <c r="B1835" s="346" t="s">
        <v>1505</v>
      </c>
      <c r="C1835" s="347"/>
      <c r="D1835" s="348"/>
      <c r="E1835" s="326">
        <f>73.95-2.19</f>
        <v>71.760000000000005</v>
      </c>
      <c r="F1835" s="10" t="s">
        <v>9</v>
      </c>
      <c r="G1835" s="1055"/>
      <c r="H1835" s="10"/>
      <c r="I1835" s="10">
        <v>1.06</v>
      </c>
      <c r="J1835" s="10"/>
      <c r="K1835" s="326">
        <f>+E1835*I1835</f>
        <v>76.065600000000003</v>
      </c>
      <c r="L1835" s="10" t="s">
        <v>9</v>
      </c>
      <c r="P1835" s="43"/>
      <c r="Q1835" s="43"/>
      <c r="R1835" s="43"/>
      <c r="S1835" s="60"/>
      <c r="T1835" s="60"/>
      <c r="U1835" s="43"/>
    </row>
    <row r="1836" spans="1:21" s="41" customFormat="1" ht="30" customHeight="1" x14ac:dyDescent="0.25">
      <c r="A1836" s="10" t="s">
        <v>760</v>
      </c>
      <c r="B1836" s="323" t="s">
        <v>1506</v>
      </c>
      <c r="C1836" s="324"/>
      <c r="D1836" s="325"/>
      <c r="E1836" s="326">
        <v>132000</v>
      </c>
      <c r="F1836" s="10" t="s">
        <v>11</v>
      </c>
      <c r="G1836" s="326">
        <f>+E1836/H1833</f>
        <v>23.174157303370787</v>
      </c>
      <c r="H1836" s="10" t="s">
        <v>1353</v>
      </c>
      <c r="I1836" s="10">
        <v>1.02</v>
      </c>
      <c r="J1836" s="10"/>
      <c r="K1836" s="326">
        <f>+G1836*I1836</f>
        <v>23.637640449438205</v>
      </c>
      <c r="L1836" s="10" t="s">
        <v>9</v>
      </c>
      <c r="M1836" s="341"/>
      <c r="N1836" s="342"/>
      <c r="O1836" s="42"/>
    </row>
    <row r="1837" spans="1:21" s="49" customFormat="1" ht="30" customHeight="1" x14ac:dyDescent="0.25">
      <c r="A1837" s="10" t="s">
        <v>760</v>
      </c>
      <c r="B1837" s="323" t="s">
        <v>1507</v>
      </c>
      <c r="C1837" s="324"/>
      <c r="D1837" s="325"/>
      <c r="E1837" s="326">
        <f>+(228+250)/2</f>
        <v>239</v>
      </c>
      <c r="F1837" s="10" t="s">
        <v>7</v>
      </c>
      <c r="G1837" s="1086">
        <f>100*E1837/H1833</f>
        <v>4.1959269662921352</v>
      </c>
      <c r="H1837" s="10" t="s">
        <v>1353</v>
      </c>
      <c r="I1837" s="10">
        <v>1.02</v>
      </c>
      <c r="J1837" s="10"/>
      <c r="K1837" s="326">
        <f>+G1837*I1837</f>
        <v>4.2798455056179776</v>
      </c>
      <c r="L1837" s="10" t="s">
        <v>9</v>
      </c>
      <c r="M1837" s="502"/>
      <c r="N1837" s="502"/>
      <c r="O1837" s="27"/>
    </row>
    <row r="1838" spans="1:21" ht="30" customHeight="1" x14ac:dyDescent="0.25">
      <c r="A1838" s="10" t="s">
        <v>760</v>
      </c>
      <c r="B1838" s="323" t="s">
        <v>1508</v>
      </c>
      <c r="C1838" s="324"/>
      <c r="D1838" s="325"/>
      <c r="E1838" s="326">
        <f>+(22.2+44.75)/2</f>
        <v>33.475000000000001</v>
      </c>
      <c r="F1838" s="10" t="s">
        <v>7</v>
      </c>
      <c r="G1838" s="1086">
        <f>100*E1838/H1833</f>
        <v>0.5876931179775281</v>
      </c>
      <c r="H1838" s="10" t="s">
        <v>1353</v>
      </c>
      <c r="I1838" s="10">
        <v>1.02</v>
      </c>
      <c r="J1838" s="10"/>
      <c r="K1838" s="326">
        <f>+G1838*I1838</f>
        <v>0.59944698033707866</v>
      </c>
      <c r="L1838" s="10" t="s">
        <v>9</v>
      </c>
      <c r="M1838" s="1932"/>
      <c r="N1838" s="213"/>
    </row>
    <row r="1839" spans="1:21" ht="30" customHeight="1" x14ac:dyDescent="0.25">
      <c r="A1839" s="10"/>
      <c r="B1839" s="846"/>
      <c r="C1839" s="846"/>
      <c r="D1839" s="846"/>
      <c r="E1839" s="326"/>
      <c r="F1839" s="10"/>
      <c r="G1839" s="845"/>
      <c r="H1839" s="846"/>
      <c r="I1839" s="10"/>
      <c r="J1839" s="10" t="s">
        <v>578</v>
      </c>
      <c r="K1839" s="326">
        <f>SUM(K1835:K1838)</f>
        <v>104.58253293539327</v>
      </c>
      <c r="L1839" s="10" t="s">
        <v>9</v>
      </c>
      <c r="M1839" s="1067"/>
      <c r="N1839" s="420"/>
      <c r="P1839" s="43"/>
      <c r="Q1839" s="43"/>
      <c r="R1839" s="43"/>
      <c r="S1839" s="60"/>
      <c r="T1839" s="60"/>
      <c r="U1839" s="43"/>
    </row>
    <row r="1840" spans="1:21" ht="30" customHeight="1" x14ac:dyDescent="0.25">
      <c r="A1840" s="61"/>
      <c r="B1840" s="410"/>
      <c r="C1840" s="410"/>
      <c r="D1840" s="410"/>
      <c r="E1840" s="405"/>
      <c r="F1840" s="338" t="s">
        <v>533</v>
      </c>
      <c r="G1840" s="339" t="s">
        <v>534</v>
      </c>
      <c r="H1840" s="339"/>
      <c r="I1840" s="339"/>
      <c r="J1840" s="339"/>
      <c r="K1840" s="340">
        <v>1.0900000000000001</v>
      </c>
      <c r="L1840" s="10"/>
      <c r="P1840" s="43"/>
      <c r="Q1840" s="43"/>
      <c r="R1840" s="43"/>
      <c r="S1840" s="60"/>
      <c r="T1840" s="60"/>
      <c r="U1840" s="43"/>
    </row>
    <row r="1841" spans="1:21" ht="30" customHeight="1" x14ac:dyDescent="0.25">
      <c r="A1841" s="61"/>
      <c r="B1841" s="410"/>
      <c r="C1841" s="410"/>
      <c r="D1841" s="410"/>
      <c r="E1841" s="405"/>
      <c r="F1841" s="343"/>
      <c r="G1841" s="344" t="s">
        <v>535</v>
      </c>
      <c r="H1841" s="344"/>
      <c r="I1841" s="344"/>
      <c r="J1841" s="344"/>
      <c r="K1841" s="340">
        <v>1.02</v>
      </c>
      <c r="L1841" s="10"/>
      <c r="U1841" s="43"/>
    </row>
    <row r="1842" spans="1:21" s="49" customFormat="1" ht="30" customHeight="1" x14ac:dyDescent="0.25">
      <c r="A1842" s="10"/>
      <c r="B1842" s="10"/>
      <c r="C1842" s="13"/>
      <c r="D1842" s="13"/>
      <c r="E1842" s="13"/>
      <c r="F1842" s="13"/>
      <c r="G1842" s="13"/>
      <c r="H1842" s="13"/>
      <c r="I1842" s="13"/>
      <c r="J1842" s="10" t="s">
        <v>358</v>
      </c>
      <c r="K1842" s="14">
        <f>+K1839*K1840/K1841</f>
        <v>111.75976558782223</v>
      </c>
      <c r="L1842" s="10" t="s">
        <v>9</v>
      </c>
      <c r="M1842" s="502"/>
      <c r="N1842" s="502"/>
      <c r="O1842" s="27"/>
      <c r="P1842" s="50"/>
      <c r="Q1842" s="50"/>
      <c r="R1842" s="50"/>
      <c r="S1842" s="212"/>
      <c r="T1842" s="212"/>
    </row>
    <row r="1843" spans="1:21" ht="30" customHeight="1" x14ac:dyDescent="0.25">
      <c r="A1843" s="10"/>
      <c r="B1843" s="10"/>
      <c r="C1843" s="13"/>
      <c r="D1843" s="13"/>
      <c r="E1843" s="13"/>
      <c r="F1843" s="13"/>
      <c r="G1843" s="573" t="s">
        <v>652</v>
      </c>
      <c r="H1843" s="13"/>
      <c r="I1843" s="13"/>
      <c r="J1843" s="361">
        <f>VLOOKUP(B1833,'Mil Cost Premiums for RUCs'!$A$4:$R$265,18,FALSE)</f>
        <v>1.2416928604998634</v>
      </c>
      <c r="K1843" s="14">
        <f>+K1842*J1843</f>
        <v>138.77130302153719</v>
      </c>
      <c r="L1843" s="10" t="s">
        <v>9</v>
      </c>
      <c r="M1843" s="43"/>
      <c r="P1843" s="43"/>
      <c r="Q1843" s="43"/>
      <c r="R1843" s="43"/>
      <c r="S1843" s="60"/>
      <c r="T1843" s="60"/>
    </row>
    <row r="1844" spans="1:21" ht="75" customHeight="1" x14ac:dyDescent="0.25">
      <c r="A1844" s="575" t="s">
        <v>538</v>
      </c>
      <c r="B1844" s="893"/>
      <c r="C1844" s="893"/>
      <c r="D1844" s="893"/>
      <c r="E1844" s="893"/>
      <c r="F1844" s="893"/>
      <c r="G1844" s="893"/>
      <c r="H1844" s="893"/>
      <c r="I1844" s="893"/>
      <c r="J1844" s="893"/>
      <c r="K1844" s="893"/>
      <c r="L1844" s="894"/>
      <c r="N1844" s="342"/>
      <c r="O1844" s="42"/>
      <c r="P1844" s="41"/>
      <c r="Q1844" s="41"/>
      <c r="R1844" s="41"/>
      <c r="S1844" s="41"/>
      <c r="T1844" s="41"/>
      <c r="U1844" s="43"/>
    </row>
    <row r="1845" spans="1:21" ht="30" customHeight="1" x14ac:dyDescent="0.25">
      <c r="A1845" s="1044" t="s">
        <v>539</v>
      </c>
      <c r="B1845" s="1045"/>
      <c r="C1845" s="1046"/>
      <c r="D1845" s="386" t="s">
        <v>1509</v>
      </c>
      <c r="E1845" s="849"/>
      <c r="F1845" s="849"/>
      <c r="G1845" s="849"/>
      <c r="H1845" s="849"/>
      <c r="I1845" s="849"/>
      <c r="J1845" s="849"/>
      <c r="K1845" s="849"/>
      <c r="L1845" s="850"/>
      <c r="U1845" s="43"/>
    </row>
    <row r="1846" spans="1:21" s="41" customFormat="1" ht="30" customHeight="1" x14ac:dyDescent="0.25">
      <c r="A1846" s="1044" t="s">
        <v>541</v>
      </c>
      <c r="B1846" s="1045"/>
      <c r="C1846" s="1046"/>
      <c r="D1846" s="386" t="s">
        <v>1510</v>
      </c>
      <c r="E1846" s="849"/>
      <c r="F1846" s="849"/>
      <c r="G1846" s="849"/>
      <c r="H1846" s="849"/>
      <c r="I1846" s="849"/>
      <c r="J1846" s="849"/>
      <c r="K1846" s="849"/>
      <c r="L1846" s="850"/>
      <c r="M1846" s="341"/>
      <c r="N1846" s="25"/>
      <c r="O1846" s="27"/>
      <c r="P1846"/>
      <c r="Q1846"/>
      <c r="R1846"/>
      <c r="S1846"/>
      <c r="T1846"/>
    </row>
    <row r="1847" spans="1:21" s="49" customFormat="1" ht="30" customHeight="1" x14ac:dyDescent="0.25">
      <c r="A1847" s="1044" t="s">
        <v>543</v>
      </c>
      <c r="B1847" s="1045"/>
      <c r="C1847" s="1046"/>
      <c r="D1847" s="386" t="s">
        <v>1511</v>
      </c>
      <c r="E1847" s="849"/>
      <c r="F1847" s="849"/>
      <c r="G1847" s="849"/>
      <c r="H1847" s="849"/>
      <c r="I1847" s="849"/>
      <c r="J1847" s="849"/>
      <c r="K1847" s="849"/>
      <c r="L1847" s="850"/>
      <c r="M1847" s="502"/>
      <c r="N1847" s="502"/>
      <c r="O1847" s="27"/>
      <c r="P1847" s="50"/>
      <c r="Q1847" s="50"/>
      <c r="R1847" s="50"/>
      <c r="S1847" s="212"/>
      <c r="T1847" s="212"/>
    </row>
    <row r="1848" spans="1:21" ht="60" customHeight="1" x14ac:dyDescent="0.25">
      <c r="A1848" s="1044" t="s">
        <v>546</v>
      </c>
      <c r="B1848" s="1045"/>
      <c r="C1848" s="1046"/>
      <c r="D1848" s="386" t="s">
        <v>1512</v>
      </c>
      <c r="E1848" s="849"/>
      <c r="F1848" s="849"/>
      <c r="G1848" s="849"/>
      <c r="H1848" s="849"/>
      <c r="I1848" s="849"/>
      <c r="J1848" s="849"/>
      <c r="K1848" s="849"/>
      <c r="L1848" s="850"/>
      <c r="M1848" s="43"/>
      <c r="P1848" s="43"/>
      <c r="Q1848" s="43"/>
      <c r="R1848" s="43"/>
      <c r="S1848" s="60"/>
      <c r="T1848" s="60"/>
    </row>
    <row r="1849" spans="1:21" ht="60" customHeight="1" x14ac:dyDescent="0.25">
      <c r="A1849" s="1044" t="s">
        <v>548</v>
      </c>
      <c r="B1849" s="1045"/>
      <c r="C1849" s="1046"/>
      <c r="D1849" s="386" t="s">
        <v>1513</v>
      </c>
      <c r="E1849" s="849"/>
      <c r="F1849" s="849"/>
      <c r="G1849" s="849"/>
      <c r="H1849" s="849"/>
      <c r="I1849" s="849"/>
      <c r="J1849" s="849"/>
      <c r="K1849" s="849"/>
      <c r="L1849" s="850"/>
      <c r="M1849" s="419"/>
      <c r="N1849" s="420"/>
      <c r="O1849"/>
      <c r="P1849" s="392"/>
      <c r="Q1849" s="391"/>
      <c r="R1849" s="393"/>
    </row>
    <row r="1850" spans="1:21" ht="30" customHeight="1" x14ac:dyDescent="0.25">
      <c r="A1850" s="1044" t="s">
        <v>550</v>
      </c>
      <c r="B1850" s="1045"/>
      <c r="C1850" s="1046"/>
      <c r="D1850" s="386" t="s">
        <v>1514</v>
      </c>
      <c r="E1850" s="849"/>
      <c r="F1850" s="849"/>
      <c r="G1850" s="849"/>
      <c r="H1850" s="849"/>
      <c r="I1850" s="849"/>
      <c r="J1850" s="849"/>
      <c r="K1850" s="849"/>
      <c r="L1850" s="850"/>
      <c r="M1850" s="419"/>
      <c r="N1850" s="420"/>
      <c r="O1850"/>
      <c r="P1850" s="392"/>
      <c r="Q1850" s="391"/>
      <c r="R1850" s="393"/>
    </row>
    <row r="1851" spans="1:21" ht="30" customHeight="1" x14ac:dyDescent="0.25">
      <c r="A1851" s="1044" t="s">
        <v>552</v>
      </c>
      <c r="B1851" s="1045"/>
      <c r="C1851" s="1046"/>
      <c r="D1851" s="386" t="s">
        <v>1515</v>
      </c>
      <c r="E1851" s="849"/>
      <c r="F1851" s="849"/>
      <c r="G1851" s="849"/>
      <c r="H1851" s="849"/>
      <c r="I1851" s="849"/>
      <c r="J1851" s="849"/>
      <c r="K1851" s="849"/>
      <c r="L1851" s="850"/>
      <c r="M1851" s="419"/>
      <c r="N1851" s="420"/>
      <c r="O1851"/>
      <c r="P1851" s="392"/>
      <c r="Q1851" s="391"/>
      <c r="R1851" s="393"/>
    </row>
    <row r="1852" spans="1:21" s="49" customFormat="1" ht="60" customHeight="1" x14ac:dyDescent="0.25">
      <c r="A1852" s="1044" t="s">
        <v>553</v>
      </c>
      <c r="B1852" s="1045"/>
      <c r="C1852" s="1046"/>
      <c r="D1852" s="1011" t="s">
        <v>1516</v>
      </c>
      <c r="E1852" s="1012"/>
      <c r="F1852" s="1012"/>
      <c r="G1852" s="1012"/>
      <c r="H1852" s="1012"/>
      <c r="I1852" s="1012"/>
      <c r="J1852" s="1012"/>
      <c r="K1852" s="1012"/>
      <c r="L1852" s="1013"/>
      <c r="M1852" s="425"/>
      <c r="N1852" s="420"/>
      <c r="P1852" s="392"/>
      <c r="Q1852" s="391"/>
      <c r="R1852" s="393"/>
    </row>
    <row r="1853" spans="1:21" ht="60" customHeight="1" thickBot="1" x14ac:dyDescent="0.3">
      <c r="A1853" s="1044" t="s">
        <v>556</v>
      </c>
      <c r="B1853" s="1045"/>
      <c r="C1853" s="1046"/>
      <c r="D1853" s="386" t="s">
        <v>1517</v>
      </c>
      <c r="E1853" s="849"/>
      <c r="F1853" s="849"/>
      <c r="G1853" s="849"/>
      <c r="H1853" s="849"/>
      <c r="I1853" s="849"/>
      <c r="J1853" s="849"/>
      <c r="K1853" s="849"/>
      <c r="L1853" s="850"/>
      <c r="M1853" s="419"/>
      <c r="N1853" s="420"/>
      <c r="O1853"/>
      <c r="P1853" s="412"/>
      <c r="Q1853" s="391"/>
      <c r="R1853" s="393"/>
    </row>
    <row r="1854" spans="1:21" ht="30" customHeight="1" thickBot="1" x14ac:dyDescent="0.3">
      <c r="A1854" s="76"/>
      <c r="B1854" s="77"/>
      <c r="C1854" s="77"/>
      <c r="D1854" s="77"/>
      <c r="E1854" s="77"/>
      <c r="F1854" s="77"/>
      <c r="G1854" s="77"/>
      <c r="H1854" s="77"/>
      <c r="I1854" s="77"/>
      <c r="J1854" s="77"/>
      <c r="K1854" s="77"/>
      <c r="L1854" s="78"/>
      <c r="M1854" s="419"/>
      <c r="N1854" s="420"/>
      <c r="O1854"/>
      <c r="P1854" s="412"/>
      <c r="Q1854" s="391"/>
      <c r="R1854" s="393"/>
    </row>
    <row r="1855" spans="1:21" ht="30" customHeight="1" x14ac:dyDescent="0.25">
      <c r="A1855" s="30" t="s">
        <v>288</v>
      </c>
      <c r="B1855" s="208">
        <v>2192</v>
      </c>
      <c r="C1855" s="209" t="s">
        <v>1518</v>
      </c>
      <c r="D1855" s="210"/>
      <c r="E1855" s="177" t="s">
        <v>291</v>
      </c>
      <c r="F1855" s="178" t="s">
        <v>11</v>
      </c>
      <c r="G1855" s="123" t="s">
        <v>375</v>
      </c>
      <c r="H1855" s="539">
        <v>5696</v>
      </c>
      <c r="I1855" s="177" t="s">
        <v>292</v>
      </c>
      <c r="J1855" s="747" t="s">
        <v>883</v>
      </c>
      <c r="K1855" s="747"/>
      <c r="L1855" s="748"/>
      <c r="M1855" s="419"/>
      <c r="N1855" s="420"/>
      <c r="O1855"/>
      <c r="P1855" s="412"/>
      <c r="Q1855" s="391"/>
      <c r="R1855" s="393"/>
    </row>
    <row r="1856" spans="1:21" ht="30" customHeight="1" x14ac:dyDescent="0.25">
      <c r="A1856" s="48" t="s">
        <v>529</v>
      </c>
      <c r="B1856" s="394" t="s">
        <v>560</v>
      </c>
      <c r="C1856" s="395"/>
      <c r="D1856" s="396"/>
      <c r="E1856" s="397" t="s">
        <v>519</v>
      </c>
      <c r="F1856" s="397" t="s">
        <v>561</v>
      </c>
      <c r="G1856" s="398" t="s">
        <v>562</v>
      </c>
      <c r="H1856" s="399"/>
      <c r="I1856" s="181" t="s">
        <v>530</v>
      </c>
      <c r="J1856" s="185"/>
      <c r="K1856" s="288" t="s">
        <v>521</v>
      </c>
      <c r="L1856" s="289"/>
      <c r="M1856" s="419"/>
      <c r="N1856" s="420"/>
      <c r="O1856"/>
      <c r="P1856" s="412"/>
      <c r="Q1856" s="391"/>
      <c r="R1856" s="393"/>
    </row>
    <row r="1857" spans="1:18" ht="45" customHeight="1" x14ac:dyDescent="0.25">
      <c r="A1857" s="61" t="s">
        <v>1309</v>
      </c>
      <c r="B1857" s="346" t="s">
        <v>1505</v>
      </c>
      <c r="C1857" s="347"/>
      <c r="D1857" s="348"/>
      <c r="E1857" s="326">
        <f>73.95-2.19</f>
        <v>71.760000000000005</v>
      </c>
      <c r="F1857" s="20" t="s">
        <v>9</v>
      </c>
      <c r="G1857" s="1087">
        <f>+H1855</f>
        <v>5696</v>
      </c>
      <c r="H1857" s="20" t="s">
        <v>565</v>
      </c>
      <c r="I1857" s="20">
        <v>1.06</v>
      </c>
      <c r="J1857" s="751"/>
      <c r="K1857" s="405">
        <f>+E1857*G1857*I1857</f>
        <v>433269.65760000004</v>
      </c>
      <c r="L1857" s="20" t="s">
        <v>11</v>
      </c>
      <c r="M1857" s="419"/>
      <c r="N1857" s="420"/>
      <c r="O1857"/>
      <c r="P1857" s="412"/>
      <c r="Q1857" s="391"/>
      <c r="R1857" s="393"/>
    </row>
    <row r="1858" spans="1:18" ht="30" customHeight="1" x14ac:dyDescent="0.25">
      <c r="A1858" s="61" t="s">
        <v>644</v>
      </c>
      <c r="B1858" s="402" t="s">
        <v>1519</v>
      </c>
      <c r="C1858" s="403"/>
      <c r="D1858" s="404"/>
      <c r="E1858" s="405">
        <v>3.4</v>
      </c>
      <c r="F1858" s="20" t="s">
        <v>9</v>
      </c>
      <c r="G1858" s="1087">
        <f>+H1855</f>
        <v>5696</v>
      </c>
      <c r="H1858" s="20" t="s">
        <v>565</v>
      </c>
      <c r="I1858" s="20">
        <v>1.05</v>
      </c>
      <c r="J1858" s="751"/>
      <c r="K1858" s="405">
        <f>+E1858*G1858*I1858</f>
        <v>20334.719999999998</v>
      </c>
      <c r="L1858" s="20" t="s">
        <v>11</v>
      </c>
      <c r="M1858" s="670"/>
      <c r="N1858" s="671"/>
      <c r="O1858" s="43"/>
      <c r="P1858" s="672"/>
      <c r="Q1858" s="671"/>
      <c r="R1858" s="673"/>
    </row>
    <row r="1859" spans="1:18" ht="30" customHeight="1" x14ac:dyDescent="0.25">
      <c r="A1859" s="61"/>
      <c r="B1859" s="191" t="s">
        <v>1520</v>
      </c>
      <c r="C1859" s="191"/>
      <c r="D1859" s="191"/>
      <c r="E1859" s="405"/>
      <c r="F1859" s="20"/>
      <c r="G1859" s="838"/>
      <c r="H1859" s="754"/>
      <c r="I1859" s="20"/>
      <c r="J1859" s="20" t="s">
        <v>578</v>
      </c>
      <c r="K1859" s="405">
        <f>+K1857+K1858</f>
        <v>453604.37760000001</v>
      </c>
      <c r="L1859" s="20" t="s">
        <v>11</v>
      </c>
      <c r="M1859" s="670"/>
      <c r="N1859" s="671"/>
      <c r="O1859" s="43"/>
      <c r="P1859" s="672"/>
      <c r="Q1859" s="671"/>
      <c r="R1859" s="673"/>
    </row>
    <row r="1860" spans="1:18" ht="30" customHeight="1" x14ac:dyDescent="0.25">
      <c r="A1860" s="61"/>
      <c r="B1860" s="410"/>
      <c r="C1860" s="410"/>
      <c r="D1860" s="410"/>
      <c r="E1860" s="405"/>
      <c r="F1860" s="338" t="s">
        <v>533</v>
      </c>
      <c r="G1860" s="339" t="s">
        <v>534</v>
      </c>
      <c r="H1860" s="339"/>
      <c r="I1860" s="339"/>
      <c r="J1860" s="339"/>
      <c r="K1860" s="340">
        <v>1.0900000000000001</v>
      </c>
      <c r="L1860" s="10"/>
      <c r="M1860" s="419"/>
      <c r="N1860" s="420"/>
      <c r="O1860"/>
      <c r="P1860" s="412"/>
      <c r="Q1860" s="391"/>
      <c r="R1860" s="393"/>
    </row>
    <row r="1861" spans="1:18" ht="30" customHeight="1" x14ac:dyDescent="0.25">
      <c r="A1861" s="61"/>
      <c r="B1861" s="410"/>
      <c r="C1861" s="410"/>
      <c r="D1861" s="410"/>
      <c r="E1861" s="405"/>
      <c r="F1861" s="343"/>
      <c r="G1861" s="344" t="s">
        <v>535</v>
      </c>
      <c r="H1861" s="344"/>
      <c r="I1861" s="344"/>
      <c r="J1861" s="344"/>
      <c r="K1861" s="340">
        <v>1.02</v>
      </c>
      <c r="L1861" s="10"/>
      <c r="M1861" s="419"/>
      <c r="N1861" s="420"/>
      <c r="O1861"/>
      <c r="P1861" s="412"/>
      <c r="Q1861" s="391"/>
      <c r="R1861" s="393"/>
    </row>
    <row r="1862" spans="1:18" ht="30" customHeight="1" x14ac:dyDescent="0.25">
      <c r="A1862" s="61"/>
      <c r="B1862" s="20"/>
      <c r="C1862" s="18"/>
      <c r="D1862" s="18"/>
      <c r="E1862" s="605"/>
      <c r="F1862" s="18"/>
      <c r="G1862" s="18"/>
      <c r="H1862" s="18"/>
      <c r="I1862" s="18"/>
      <c r="J1862" s="20" t="s">
        <v>358</v>
      </c>
      <c r="K1862" s="23">
        <f>+K1859*K1860/K1861</f>
        <v>484734.08978823532</v>
      </c>
      <c r="L1862" s="20" t="s">
        <v>11</v>
      </c>
      <c r="M1862" s="419"/>
      <c r="N1862" s="420"/>
      <c r="O1862"/>
      <c r="P1862" s="412"/>
      <c r="Q1862" s="391"/>
      <c r="R1862" s="393"/>
    </row>
    <row r="1863" spans="1:18" ht="30" customHeight="1" thickBot="1" x14ac:dyDescent="0.3">
      <c r="A1863" s="61"/>
      <c r="B1863" s="20"/>
      <c r="C1863" s="18"/>
      <c r="D1863" s="18"/>
      <c r="E1863" s="18"/>
      <c r="F1863" s="18"/>
      <c r="G1863" s="413" t="s">
        <v>537</v>
      </c>
      <c r="H1863" s="18"/>
      <c r="I1863" s="18"/>
      <c r="J1863" s="361">
        <f>VLOOKUP(B1855,'Mil Cost Premiums for RUCs'!$A$4:$R$265,18,FALSE)</f>
        <v>1.0517127009999996</v>
      </c>
      <c r="K1863" s="23">
        <f>+K1862*J1863</f>
        <v>509800.99883796129</v>
      </c>
      <c r="L1863" s="20" t="s">
        <v>11</v>
      </c>
      <c r="M1863" s="419"/>
      <c r="N1863" s="420"/>
      <c r="O1863"/>
      <c r="P1863" s="412"/>
      <c r="Q1863" s="391"/>
      <c r="R1863" s="393"/>
    </row>
    <row r="1864" spans="1:18" ht="30" customHeight="1" thickBot="1" x14ac:dyDescent="0.3">
      <c r="A1864" s="76"/>
      <c r="B1864" s="77"/>
      <c r="C1864" s="77"/>
      <c r="D1864" s="77"/>
      <c r="E1864" s="77"/>
      <c r="F1864" s="77"/>
      <c r="G1864" s="77"/>
      <c r="H1864" s="77"/>
      <c r="I1864" s="77"/>
      <c r="J1864" s="77"/>
      <c r="K1864" s="77"/>
      <c r="L1864" s="78"/>
      <c r="M1864" s="419"/>
      <c r="N1864" s="420"/>
      <c r="O1864"/>
      <c r="P1864" s="412"/>
      <c r="Q1864" s="391"/>
      <c r="R1864" s="393"/>
    </row>
    <row r="1865" spans="1:18" ht="30" customHeight="1" x14ac:dyDescent="0.25">
      <c r="A1865" s="417" t="s">
        <v>288</v>
      </c>
      <c r="B1865" s="418">
        <v>2211</v>
      </c>
      <c r="C1865" s="1088" t="s">
        <v>1521</v>
      </c>
      <c r="D1865" s="1089"/>
      <c r="E1865" s="540" t="s">
        <v>291</v>
      </c>
      <c r="F1865" s="541" t="s">
        <v>9</v>
      </c>
      <c r="G1865" s="123" t="s">
        <v>375</v>
      </c>
      <c r="H1865" s="954">
        <v>87113</v>
      </c>
      <c r="I1865" s="540" t="s">
        <v>292</v>
      </c>
      <c r="J1865" s="747" t="s">
        <v>883</v>
      </c>
      <c r="K1865" s="747"/>
      <c r="L1865" s="748"/>
      <c r="M1865" s="419"/>
      <c r="N1865" s="420"/>
      <c r="O1865"/>
      <c r="P1865" s="412"/>
      <c r="Q1865" s="391"/>
      <c r="R1865" s="393"/>
    </row>
    <row r="1866" spans="1:18" ht="30" customHeight="1" x14ac:dyDescent="0.25">
      <c r="A1866" s="421" t="s">
        <v>529</v>
      </c>
      <c r="B1866" s="543" t="s">
        <v>560</v>
      </c>
      <c r="C1866" s="544"/>
      <c r="D1866" s="545"/>
      <c r="E1866" s="546" t="s">
        <v>519</v>
      </c>
      <c r="F1866" s="546" t="s">
        <v>561</v>
      </c>
      <c r="G1866" s="288" t="s">
        <v>562</v>
      </c>
      <c r="H1866" s="289"/>
      <c r="I1866" s="938" t="s">
        <v>1347</v>
      </c>
      <c r="J1866" s="424" t="s">
        <v>530</v>
      </c>
      <c r="K1866" s="288" t="s">
        <v>521</v>
      </c>
      <c r="L1866" s="289"/>
      <c r="M1866" s="419"/>
      <c r="N1866" s="420"/>
      <c r="O1866"/>
      <c r="P1866" s="412"/>
      <c r="Q1866" s="391"/>
      <c r="R1866" s="393"/>
    </row>
    <row r="1867" spans="1:18" ht="30" customHeight="1" x14ac:dyDescent="0.25">
      <c r="A1867" s="10" t="s">
        <v>758</v>
      </c>
      <c r="B1867" s="346" t="s">
        <v>1522</v>
      </c>
      <c r="C1867" s="347"/>
      <c r="D1867" s="348"/>
      <c r="E1867" s="326">
        <v>149.46</v>
      </c>
      <c r="F1867" s="10" t="s">
        <v>9</v>
      </c>
      <c r="G1867" s="939"/>
      <c r="H1867" s="698"/>
      <c r="I1867" s="940">
        <f>+E1867</f>
        <v>149.46</v>
      </c>
      <c r="J1867" s="10">
        <v>1.06</v>
      </c>
      <c r="K1867" s="700">
        <f>+I1867*J1867</f>
        <v>158.42760000000001</v>
      </c>
      <c r="L1867" s="10" t="s">
        <v>9</v>
      </c>
      <c r="M1867" s="419"/>
      <c r="N1867" s="420"/>
      <c r="O1867"/>
      <c r="P1867" s="412"/>
      <c r="Q1867" s="391"/>
      <c r="R1867" s="393"/>
    </row>
    <row r="1868" spans="1:18" ht="30" customHeight="1" x14ac:dyDescent="0.25">
      <c r="A1868" s="10" t="s">
        <v>644</v>
      </c>
      <c r="B1868" s="346" t="s">
        <v>1523</v>
      </c>
      <c r="C1868" s="347"/>
      <c r="D1868" s="348"/>
      <c r="E1868" s="364">
        <v>2.79</v>
      </c>
      <c r="F1868" s="10" t="s">
        <v>9</v>
      </c>
      <c r="G1868" s="941"/>
      <c r="H1868" s="922"/>
      <c r="I1868" s="942">
        <f>+E1868</f>
        <v>2.79</v>
      </c>
      <c r="J1868" s="10">
        <v>1.06</v>
      </c>
      <c r="K1868" s="700">
        <f t="shared" ref="K1868:K1875" si="37">+I1868*J1868</f>
        <v>2.9574000000000003</v>
      </c>
      <c r="L1868" s="10" t="s">
        <v>9</v>
      </c>
      <c r="M1868" s="419"/>
      <c r="N1868" s="420"/>
      <c r="O1868"/>
      <c r="P1868" s="412"/>
      <c r="Q1868" s="391"/>
      <c r="R1868" s="393"/>
    </row>
    <row r="1869" spans="1:18" ht="30" customHeight="1" x14ac:dyDescent="0.25">
      <c r="A1869" s="10" t="s">
        <v>760</v>
      </c>
      <c r="B1869" s="346" t="s">
        <v>1524</v>
      </c>
      <c r="C1869" s="347"/>
      <c r="D1869" s="348"/>
      <c r="E1869" s="326">
        <v>210000</v>
      </c>
      <c r="F1869" s="844" t="s">
        <v>11</v>
      </c>
      <c r="G1869" s="941"/>
      <c r="H1869" s="922" t="s">
        <v>1353</v>
      </c>
      <c r="I1869" s="942">
        <f>+E1869*2/H1865</f>
        <v>4.821324027412671</v>
      </c>
      <c r="J1869" s="10">
        <v>1.02</v>
      </c>
      <c r="K1869" s="700">
        <f t="shared" si="37"/>
        <v>4.9177505079609247</v>
      </c>
      <c r="L1869" s="10" t="s">
        <v>9</v>
      </c>
      <c r="M1869" s="419"/>
      <c r="N1869" s="420"/>
      <c r="O1869"/>
      <c r="P1869" s="412"/>
      <c r="Q1869" s="391"/>
      <c r="R1869" s="393"/>
    </row>
    <row r="1870" spans="1:18" ht="30" customHeight="1" x14ac:dyDescent="0.25">
      <c r="A1870" s="10" t="s">
        <v>664</v>
      </c>
      <c r="B1870" s="346" t="s">
        <v>1525</v>
      </c>
      <c r="C1870" s="347"/>
      <c r="D1870" s="348"/>
      <c r="E1870" s="326">
        <f>(19.15+29.75)/2</f>
        <v>24.45</v>
      </c>
      <c r="F1870" s="844" t="s">
        <v>9</v>
      </c>
      <c r="G1870" s="941"/>
      <c r="H1870" s="922"/>
      <c r="I1870" s="942">
        <f>81*12*E1870/H1865</f>
        <v>0.27281117628826923</v>
      </c>
      <c r="J1870" s="10">
        <v>1.02</v>
      </c>
      <c r="K1870" s="700">
        <f t="shared" si="37"/>
        <v>0.27826739981403464</v>
      </c>
      <c r="L1870" s="10" t="s">
        <v>9</v>
      </c>
      <c r="M1870" s="419"/>
      <c r="N1870" s="420"/>
      <c r="O1870"/>
      <c r="P1870" s="412"/>
      <c r="Q1870" s="391"/>
      <c r="R1870" s="393"/>
    </row>
    <row r="1871" spans="1:18" ht="30" customHeight="1" x14ac:dyDescent="0.25">
      <c r="A1871" s="10" t="s">
        <v>664</v>
      </c>
      <c r="B1871" s="346" t="s">
        <v>1526</v>
      </c>
      <c r="C1871" s="347"/>
      <c r="D1871" s="348"/>
      <c r="E1871" s="326">
        <f>(1610+2280)/2</f>
        <v>1945</v>
      </c>
      <c r="F1871" s="844" t="s">
        <v>11</v>
      </c>
      <c r="G1871" s="941"/>
      <c r="H1871" s="922"/>
      <c r="I1871" s="942">
        <f>12*E1871/H1865</f>
        <v>0.26792786380907557</v>
      </c>
      <c r="J1871" s="10">
        <v>1.02</v>
      </c>
      <c r="K1871" s="700">
        <f t="shared" si="37"/>
        <v>0.27328642108525708</v>
      </c>
      <c r="L1871" s="10" t="s">
        <v>9</v>
      </c>
      <c r="M1871" s="419"/>
      <c r="N1871" s="420"/>
      <c r="O1871"/>
      <c r="P1871" s="412"/>
      <c r="Q1871" s="391"/>
      <c r="R1871" s="393"/>
    </row>
    <row r="1872" spans="1:18" ht="30" customHeight="1" x14ac:dyDescent="0.25">
      <c r="A1872" s="10" t="s">
        <v>668</v>
      </c>
      <c r="B1872" s="346" t="s">
        <v>1527</v>
      </c>
      <c r="C1872" s="347"/>
      <c r="D1872" s="348"/>
      <c r="E1872" s="326">
        <f>+(31.5+75)/2</f>
        <v>53.25</v>
      </c>
      <c r="F1872" s="844" t="s">
        <v>7</v>
      </c>
      <c r="G1872" s="941">
        <f>12*10</f>
        <v>120</v>
      </c>
      <c r="H1872" s="922" t="s">
        <v>1528</v>
      </c>
      <c r="I1872" s="942">
        <f>+E1872*G1872/$H$1865</f>
        <v>7.3353001274207061E-2</v>
      </c>
      <c r="J1872" s="10">
        <v>1.04</v>
      </c>
      <c r="K1872" s="700">
        <f t="shared" si="37"/>
        <v>7.6287121325175344E-2</v>
      </c>
      <c r="L1872" s="10" t="s">
        <v>9</v>
      </c>
      <c r="M1872" s="419"/>
      <c r="N1872" s="420"/>
      <c r="O1872"/>
      <c r="P1872" s="412"/>
      <c r="Q1872" s="391"/>
      <c r="R1872" s="393"/>
    </row>
    <row r="1873" spans="1:18" ht="30" customHeight="1" x14ac:dyDescent="0.25">
      <c r="A1873" s="10" t="s">
        <v>668</v>
      </c>
      <c r="B1873" s="346" t="s">
        <v>671</v>
      </c>
      <c r="C1873" s="347"/>
      <c r="D1873" s="348"/>
      <c r="E1873" s="326">
        <f>+(5900+11300)/2</f>
        <v>8600</v>
      </c>
      <c r="F1873" s="844" t="s">
        <v>11</v>
      </c>
      <c r="G1873" s="941">
        <v>12</v>
      </c>
      <c r="H1873" s="922" t="s">
        <v>1353</v>
      </c>
      <c r="I1873" s="942">
        <f>+E1873*G1873/$H$1865</f>
        <v>1.1846681895928277</v>
      </c>
      <c r="J1873" s="10">
        <v>1.04</v>
      </c>
      <c r="K1873" s="700">
        <f t="shared" si="37"/>
        <v>1.2320549171765409</v>
      </c>
      <c r="L1873" s="10" t="s">
        <v>9</v>
      </c>
      <c r="M1873" s="986"/>
      <c r="N1873" s="420"/>
      <c r="O1873"/>
      <c r="P1873" s="412"/>
      <c r="Q1873" s="391"/>
      <c r="R1873" s="393"/>
    </row>
    <row r="1874" spans="1:18" s="49" customFormat="1" ht="30" customHeight="1" x14ac:dyDescent="0.25">
      <c r="A1874" s="10" t="s">
        <v>668</v>
      </c>
      <c r="B1874" s="346" t="s">
        <v>1360</v>
      </c>
      <c r="C1874" s="347"/>
      <c r="D1874" s="348"/>
      <c r="E1874" s="364">
        <f>+(605+925)/2</f>
        <v>765</v>
      </c>
      <c r="F1874" s="844" t="s">
        <v>11</v>
      </c>
      <c r="G1874" s="941">
        <v>12</v>
      </c>
      <c r="H1874" s="922" t="s">
        <v>1353</v>
      </c>
      <c r="I1874" s="942">
        <f>+E1874*G1874/$H$1865</f>
        <v>0.10538036802773409</v>
      </c>
      <c r="J1874" s="10">
        <v>1.04</v>
      </c>
      <c r="K1874" s="700">
        <f t="shared" si="37"/>
        <v>0.10959558274884346</v>
      </c>
      <c r="L1874" s="10" t="s">
        <v>9</v>
      </c>
      <c r="M1874" s="986"/>
      <c r="N1874" s="420"/>
      <c r="P1874" s="412"/>
      <c r="Q1874" s="391"/>
      <c r="R1874" s="393"/>
    </row>
    <row r="1875" spans="1:18" ht="30" customHeight="1" x14ac:dyDescent="0.25">
      <c r="A1875" s="10" t="s">
        <v>668</v>
      </c>
      <c r="B1875" s="346" t="s">
        <v>673</v>
      </c>
      <c r="C1875" s="347"/>
      <c r="D1875" s="348"/>
      <c r="E1875" s="326">
        <f>+(1060+3175)/2</f>
        <v>2117.5</v>
      </c>
      <c r="F1875" s="844" t="s">
        <v>11</v>
      </c>
      <c r="G1875" s="941">
        <v>12</v>
      </c>
      <c r="H1875" s="922" t="s">
        <v>1353</v>
      </c>
      <c r="I1875" s="942">
        <f>+E1875*G1875/$H$1865</f>
        <v>0.29169010365846659</v>
      </c>
      <c r="J1875" s="10">
        <v>1.04</v>
      </c>
      <c r="K1875" s="700">
        <f t="shared" si="37"/>
        <v>0.30335770780480525</v>
      </c>
      <c r="L1875" s="10" t="s">
        <v>9</v>
      </c>
      <c r="M1875" s="986"/>
      <c r="N1875" s="420"/>
      <c r="O1875"/>
      <c r="P1875" s="412"/>
      <c r="Q1875" s="391"/>
      <c r="R1875" s="393"/>
    </row>
    <row r="1876" spans="1:18" ht="30" customHeight="1" x14ac:dyDescent="0.25">
      <c r="A1876" s="10"/>
      <c r="B1876" s="346"/>
      <c r="C1876" s="347"/>
      <c r="D1876" s="348"/>
      <c r="E1876" s="326"/>
      <c r="F1876" s="10"/>
      <c r="G1876" s="845"/>
      <c r="H1876" s="846"/>
      <c r="I1876" s="846"/>
      <c r="J1876" s="10" t="s">
        <v>646</v>
      </c>
      <c r="K1876" s="326">
        <f>SUM(K1867:K1875)</f>
        <v>168.57559965791563</v>
      </c>
      <c r="L1876" s="10" t="s">
        <v>9</v>
      </c>
      <c r="M1876" s="419"/>
      <c r="N1876" s="420"/>
      <c r="O1876"/>
      <c r="P1876" s="412"/>
      <c r="Q1876" s="391"/>
      <c r="R1876" s="393"/>
    </row>
    <row r="1877" spans="1:18" ht="30" customHeight="1" x14ac:dyDescent="0.25">
      <c r="A1877" s="20"/>
      <c r="B1877" s="410"/>
      <c r="C1877" s="410"/>
      <c r="D1877" s="410"/>
      <c r="E1877" s="410"/>
      <c r="F1877" s="338" t="s">
        <v>533</v>
      </c>
      <c r="G1877" s="1068" t="s">
        <v>534</v>
      </c>
      <c r="H1877" s="1069"/>
      <c r="I1877" s="1069"/>
      <c r="J1877" s="1070"/>
      <c r="K1877" s="340">
        <v>1.0900000000000001</v>
      </c>
      <c r="L1877" s="10"/>
      <c r="M1877" s="419"/>
      <c r="N1877" s="420"/>
      <c r="O1877"/>
      <c r="P1877" s="412"/>
      <c r="Q1877" s="391"/>
      <c r="R1877" s="393"/>
    </row>
    <row r="1878" spans="1:18" ht="30" customHeight="1" x14ac:dyDescent="0.25">
      <c r="A1878" s="20"/>
      <c r="B1878" s="410"/>
      <c r="C1878" s="410"/>
      <c r="D1878" s="410"/>
      <c r="E1878" s="410"/>
      <c r="F1878" s="343"/>
      <c r="G1878" s="1068" t="s">
        <v>535</v>
      </c>
      <c r="H1878" s="1069"/>
      <c r="I1878" s="1069"/>
      <c r="J1878" s="1070"/>
      <c r="K1878" s="340">
        <v>1.02</v>
      </c>
      <c r="L1878" s="10"/>
      <c r="M1878" s="670"/>
      <c r="N1878" s="671"/>
      <c r="O1878" s="43"/>
      <c r="P1878" s="672"/>
      <c r="Q1878" s="671"/>
      <c r="R1878" s="673"/>
    </row>
    <row r="1879" spans="1:18" ht="30" customHeight="1" x14ac:dyDescent="0.25">
      <c r="A1879" s="10"/>
      <c r="B1879" s="10"/>
      <c r="C1879" s="13"/>
      <c r="D1879" s="13"/>
      <c r="E1879" s="13"/>
      <c r="F1879" s="13"/>
      <c r="G1879" s="13"/>
      <c r="H1879" s="13"/>
      <c r="I1879" s="13"/>
      <c r="J1879" s="10" t="s">
        <v>358</v>
      </c>
      <c r="K1879" s="14">
        <f>+K1876*K1877/K1878</f>
        <v>180.14451335992945</v>
      </c>
      <c r="L1879" s="10" t="s">
        <v>9</v>
      </c>
      <c r="M1879" s="670"/>
      <c r="N1879" s="671"/>
      <c r="O1879" s="43"/>
      <c r="P1879" s="672"/>
      <c r="Q1879" s="671"/>
      <c r="R1879" s="673"/>
    </row>
    <row r="1880" spans="1:18" ht="30" customHeight="1" x14ac:dyDescent="0.25">
      <c r="A1880" s="554"/>
      <c r="B1880" s="554"/>
      <c r="C1880" s="555"/>
      <c r="D1880" s="555"/>
      <c r="E1880" s="555"/>
      <c r="F1880" s="555"/>
      <c r="G1880" s="957" t="s">
        <v>652</v>
      </c>
      <c r="H1880" s="958"/>
      <c r="I1880" s="959"/>
      <c r="J1880" s="361">
        <f>VLOOKUP(B1865,'Mil Cost Premiums for RUCs'!$A$4:$R$265,18,FALSE)</f>
        <v>1.1932356231980656</v>
      </c>
      <c r="K1880" s="1090">
        <f>+K1879*J1880</f>
        <v>214.95485066474768</v>
      </c>
      <c r="L1880" s="10" t="s">
        <v>9</v>
      </c>
      <c r="M1880" s="419"/>
      <c r="N1880" s="1895"/>
      <c r="O1880"/>
      <c r="P1880" s="412"/>
      <c r="Q1880" s="391"/>
      <c r="R1880" s="393"/>
    </row>
    <row r="1881" spans="1:18" ht="75" customHeight="1" x14ac:dyDescent="0.25">
      <c r="A1881" s="580" t="s">
        <v>538</v>
      </c>
      <c r="B1881" s="532"/>
      <c r="C1881" s="532"/>
      <c r="D1881" s="532"/>
      <c r="E1881" s="532"/>
      <c r="F1881" s="532"/>
      <c r="G1881" s="532"/>
      <c r="H1881" s="532"/>
      <c r="I1881" s="532"/>
      <c r="J1881" s="532"/>
      <c r="K1881" s="532"/>
      <c r="L1881" s="532"/>
      <c r="M1881" s="1914"/>
      <c r="N1881" s="671"/>
      <c r="O1881"/>
      <c r="P1881" s="412"/>
      <c r="Q1881" s="391"/>
      <c r="R1881" s="393"/>
    </row>
    <row r="1882" spans="1:18" ht="30" customHeight="1" x14ac:dyDescent="0.25">
      <c r="A1882" s="1044" t="s">
        <v>539</v>
      </c>
      <c r="B1882" s="1045"/>
      <c r="C1882" s="1046"/>
      <c r="D1882" s="386" t="s">
        <v>1529</v>
      </c>
      <c r="E1882" s="849"/>
      <c r="F1882" s="849"/>
      <c r="G1882" s="849"/>
      <c r="H1882" s="849"/>
      <c r="I1882" s="849"/>
      <c r="J1882" s="849"/>
      <c r="K1882" s="849"/>
      <c r="L1882" s="850"/>
      <c r="M1882" s="1906"/>
      <c r="N1882" s="671"/>
      <c r="O1882"/>
      <c r="P1882" s="412"/>
      <c r="Q1882" s="391"/>
      <c r="R1882" s="393"/>
    </row>
    <row r="1883" spans="1:18" ht="45" customHeight="1" x14ac:dyDescent="0.25">
      <c r="A1883" s="1044" t="s">
        <v>541</v>
      </c>
      <c r="B1883" s="1045"/>
      <c r="C1883" s="1046"/>
      <c r="D1883" s="386" t="s">
        <v>1530</v>
      </c>
      <c r="E1883" s="849"/>
      <c r="F1883" s="849"/>
      <c r="G1883" s="849"/>
      <c r="H1883" s="849"/>
      <c r="I1883" s="849"/>
      <c r="J1883" s="849"/>
      <c r="K1883" s="849"/>
      <c r="L1883" s="850"/>
      <c r="M1883" s="1091"/>
      <c r="N1883" s="420"/>
      <c r="O1883"/>
      <c r="P1883" s="412"/>
      <c r="Q1883" s="391"/>
      <c r="R1883" s="393"/>
    </row>
    <row r="1884" spans="1:18" s="49" customFormat="1" ht="30" customHeight="1" x14ac:dyDescent="0.25">
      <c r="A1884" s="1044" t="s">
        <v>543</v>
      </c>
      <c r="B1884" s="1045"/>
      <c r="C1884" s="1046"/>
      <c r="D1884" s="386" t="s">
        <v>1531</v>
      </c>
      <c r="E1884" s="849"/>
      <c r="F1884" s="849"/>
      <c r="G1884" s="849"/>
      <c r="H1884" s="849"/>
      <c r="I1884" s="849"/>
      <c r="J1884" s="849"/>
      <c r="K1884" s="849"/>
      <c r="L1884" s="850"/>
      <c r="M1884" s="420"/>
      <c r="N1884" s="502"/>
      <c r="O1884" s="412"/>
      <c r="P1884" s="391"/>
      <c r="Q1884" s="393"/>
    </row>
    <row r="1885" spans="1:18" ht="30" customHeight="1" x14ac:dyDescent="0.25">
      <c r="A1885" s="1044" t="s">
        <v>546</v>
      </c>
      <c r="B1885" s="1045"/>
      <c r="C1885" s="1046"/>
      <c r="D1885" s="386" t="s">
        <v>1532</v>
      </c>
      <c r="E1885" s="849"/>
      <c r="F1885" s="849"/>
      <c r="G1885" s="849"/>
      <c r="H1885" s="849"/>
      <c r="I1885" s="849"/>
      <c r="J1885" s="849"/>
      <c r="K1885" s="849"/>
      <c r="L1885" s="850"/>
      <c r="M1885" s="986"/>
      <c r="O1885" s="412"/>
      <c r="P1885" s="391"/>
      <c r="Q1885" s="393"/>
    </row>
    <row r="1886" spans="1:18" ht="75" customHeight="1" x14ac:dyDescent="0.25">
      <c r="A1886" s="1044" t="s">
        <v>548</v>
      </c>
      <c r="B1886" s="1045"/>
      <c r="C1886" s="1046"/>
      <c r="D1886" s="386" t="s">
        <v>1533</v>
      </c>
      <c r="E1886" s="849"/>
      <c r="F1886" s="849"/>
      <c r="G1886" s="849"/>
      <c r="H1886" s="849"/>
      <c r="I1886" s="849"/>
      <c r="J1886" s="849"/>
      <c r="K1886" s="849"/>
      <c r="L1886" s="850"/>
      <c r="M1886" s="986"/>
      <c r="O1886" s="412"/>
      <c r="P1886" s="391"/>
      <c r="Q1886" s="393"/>
    </row>
    <row r="1887" spans="1:18" ht="30" customHeight="1" x14ac:dyDescent="0.25">
      <c r="A1887" s="1044" t="s">
        <v>550</v>
      </c>
      <c r="B1887" s="1045"/>
      <c r="C1887" s="1046"/>
      <c r="D1887" s="386" t="s">
        <v>1534</v>
      </c>
      <c r="E1887" s="849"/>
      <c r="F1887" s="849"/>
      <c r="G1887" s="849"/>
      <c r="H1887" s="849"/>
      <c r="I1887" s="849"/>
      <c r="J1887" s="849"/>
      <c r="K1887" s="849"/>
      <c r="L1887" s="850"/>
      <c r="M1887" s="420"/>
      <c r="O1887" s="412"/>
      <c r="P1887" s="391"/>
      <c r="Q1887" s="393"/>
    </row>
    <row r="1888" spans="1:18" ht="30" customHeight="1" x14ac:dyDescent="0.25">
      <c r="A1888" s="1044" t="s">
        <v>552</v>
      </c>
      <c r="B1888" s="1045"/>
      <c r="C1888" s="1046"/>
      <c r="D1888" s="563" t="s">
        <v>699</v>
      </c>
      <c r="E1888" s="383"/>
      <c r="F1888" s="383"/>
      <c r="G1888" s="383"/>
      <c r="H1888" s="383"/>
      <c r="I1888" s="383"/>
      <c r="J1888" s="383"/>
      <c r="K1888" s="383"/>
      <c r="L1888" s="384"/>
      <c r="M1888" s="420"/>
      <c r="O1888" s="412"/>
      <c r="P1888" s="391"/>
      <c r="Q1888" s="393"/>
    </row>
    <row r="1889" spans="1:18" ht="75" customHeight="1" x14ac:dyDescent="0.25">
      <c r="A1889" s="1044" t="s">
        <v>553</v>
      </c>
      <c r="B1889" s="1045"/>
      <c r="C1889" s="1046"/>
      <c r="D1889" s="386" t="s">
        <v>1535</v>
      </c>
      <c r="E1889" s="849"/>
      <c r="F1889" s="849"/>
      <c r="G1889" s="849"/>
      <c r="H1889" s="849"/>
      <c r="I1889" s="849"/>
      <c r="J1889" s="849"/>
      <c r="K1889" s="849"/>
      <c r="L1889" s="850"/>
      <c r="M1889" s="420"/>
      <c r="O1889" s="412"/>
      <c r="P1889" s="391"/>
      <c r="Q1889" s="393"/>
    </row>
    <row r="1890" spans="1:18" s="25" customFormat="1" ht="60" customHeight="1" thickBot="1" x14ac:dyDescent="0.3">
      <c r="A1890" s="1033" t="s">
        <v>556</v>
      </c>
      <c r="B1890" s="1034"/>
      <c r="C1890" s="1035"/>
      <c r="D1890" s="960" t="s">
        <v>1536</v>
      </c>
      <c r="E1890" s="961"/>
      <c r="F1890" s="961"/>
      <c r="G1890" s="961"/>
      <c r="H1890" s="961"/>
      <c r="I1890" s="961"/>
      <c r="J1890" s="961"/>
      <c r="K1890" s="961"/>
      <c r="L1890" s="1017"/>
      <c r="M1890" s="420"/>
      <c r="O1890" s="566"/>
      <c r="P1890" s="420"/>
      <c r="Q1890" s="567"/>
    </row>
    <row r="1891" spans="1:18" ht="30" customHeight="1" thickBot="1" x14ac:dyDescent="0.3">
      <c r="A1891" s="76"/>
      <c r="B1891" s="77"/>
      <c r="C1891" s="77"/>
      <c r="D1891" s="77"/>
      <c r="E1891" s="77"/>
      <c r="F1891" s="77"/>
      <c r="G1891" s="77"/>
      <c r="H1891" s="77"/>
      <c r="I1891" s="77"/>
      <c r="J1891" s="77"/>
      <c r="K1891" s="77"/>
      <c r="L1891" s="78"/>
      <c r="M1891" s="420"/>
      <c r="O1891" s="412"/>
      <c r="P1891" s="391"/>
      <c r="Q1891" s="393"/>
    </row>
    <row r="1892" spans="1:18" ht="30" customHeight="1" x14ac:dyDescent="0.25">
      <c r="A1892" s="207" t="s">
        <v>288</v>
      </c>
      <c r="B1892" s="208">
        <v>2221</v>
      </c>
      <c r="C1892" s="209" t="s">
        <v>1537</v>
      </c>
      <c r="D1892" s="210"/>
      <c r="E1892" s="177" t="s">
        <v>291</v>
      </c>
      <c r="F1892" s="178" t="s">
        <v>9</v>
      </c>
      <c r="G1892" s="123" t="s">
        <v>375</v>
      </c>
      <c r="H1892" s="539">
        <v>13059</v>
      </c>
      <c r="I1892" s="177" t="s">
        <v>292</v>
      </c>
      <c r="J1892" s="747" t="s">
        <v>883</v>
      </c>
      <c r="K1892" s="747"/>
      <c r="L1892" s="748"/>
      <c r="M1892" s="420"/>
      <c r="O1892" s="412"/>
      <c r="P1892" s="391"/>
      <c r="Q1892" s="393"/>
    </row>
    <row r="1893" spans="1:18" ht="30" customHeight="1" x14ac:dyDescent="0.25">
      <c r="A1893" s="185" t="s">
        <v>529</v>
      </c>
      <c r="B1893" s="394" t="s">
        <v>560</v>
      </c>
      <c r="C1893" s="395"/>
      <c r="D1893" s="396"/>
      <c r="E1893" s="397" t="s">
        <v>519</v>
      </c>
      <c r="F1893" s="397" t="s">
        <v>561</v>
      </c>
      <c r="G1893" s="398" t="s">
        <v>562</v>
      </c>
      <c r="H1893" s="399"/>
      <c r="I1893" s="181" t="s">
        <v>530</v>
      </c>
      <c r="J1893" s="181"/>
      <c r="K1893" s="288" t="s">
        <v>521</v>
      </c>
      <c r="L1893" s="289"/>
      <c r="M1893" s="420"/>
      <c r="O1893" s="412"/>
      <c r="P1893" s="391"/>
      <c r="Q1893" s="393"/>
    </row>
    <row r="1894" spans="1:18" ht="45" customHeight="1" x14ac:dyDescent="0.25">
      <c r="A1894" s="20" t="s">
        <v>758</v>
      </c>
      <c r="B1894" s="346" t="s">
        <v>1538</v>
      </c>
      <c r="C1894" s="347"/>
      <c r="D1894" s="348"/>
      <c r="E1894" s="326">
        <f>149.46-2.29</f>
        <v>147.17000000000002</v>
      </c>
      <c r="F1894" s="20" t="s">
        <v>9</v>
      </c>
      <c r="G1894" s="522"/>
      <c r="H1894" s="20"/>
      <c r="I1894" s="20">
        <v>1.03</v>
      </c>
      <c r="J1894" s="20"/>
      <c r="K1894" s="405">
        <f>+E1894*I1894</f>
        <v>151.58510000000001</v>
      </c>
      <c r="L1894" s="20" t="s">
        <v>9</v>
      </c>
      <c r="M1894" s="420"/>
      <c r="O1894" s="412"/>
      <c r="P1894" s="391"/>
      <c r="Q1894" s="393"/>
    </row>
    <row r="1895" spans="1:18" ht="30" customHeight="1" x14ac:dyDescent="0.25">
      <c r="A1895" s="20" t="s">
        <v>760</v>
      </c>
      <c r="B1895" s="402" t="s">
        <v>1539</v>
      </c>
      <c r="C1895" s="403"/>
      <c r="D1895" s="404"/>
      <c r="E1895" s="1092">
        <v>166000</v>
      </c>
      <c r="F1895" s="20" t="s">
        <v>1473</v>
      </c>
      <c r="G1895" s="1093">
        <f>+H1892</f>
        <v>13059</v>
      </c>
      <c r="H1895" s="754" t="s">
        <v>1468</v>
      </c>
      <c r="I1895" s="20">
        <v>1.02</v>
      </c>
      <c r="J1895" s="20"/>
      <c r="K1895" s="405">
        <f>+(E1895/G1895)*I1895</f>
        <v>12.965770732827934</v>
      </c>
      <c r="L1895" s="20" t="s">
        <v>9</v>
      </c>
      <c r="M1895" s="670"/>
      <c r="N1895" s="671"/>
      <c r="O1895" s="43"/>
      <c r="P1895" s="672"/>
      <c r="Q1895" s="671"/>
      <c r="R1895" s="673"/>
    </row>
    <row r="1896" spans="1:18" ht="30" customHeight="1" x14ac:dyDescent="0.25">
      <c r="A1896" s="20" t="s">
        <v>644</v>
      </c>
      <c r="B1896" s="503" t="s">
        <v>1540</v>
      </c>
      <c r="C1896" s="504"/>
      <c r="D1896" s="504"/>
      <c r="E1896" s="405">
        <v>5.34</v>
      </c>
      <c r="F1896" s="730" t="s">
        <v>9</v>
      </c>
      <c r="G1896" s="838"/>
      <c r="H1896" s="754"/>
      <c r="I1896" s="20">
        <v>1.03</v>
      </c>
      <c r="J1896" s="20"/>
      <c r="K1896" s="405">
        <f>+E1896*I1896</f>
        <v>5.5002000000000004</v>
      </c>
      <c r="L1896" s="20" t="s">
        <v>9</v>
      </c>
      <c r="M1896" s="670"/>
      <c r="N1896" s="671"/>
      <c r="O1896" s="43"/>
      <c r="P1896" s="672"/>
      <c r="Q1896" s="671"/>
      <c r="R1896" s="673"/>
    </row>
    <row r="1897" spans="1:18" ht="30" customHeight="1" x14ac:dyDescent="0.25">
      <c r="A1897" s="20"/>
      <c r="B1897" s="659" t="s">
        <v>1541</v>
      </c>
      <c r="C1897" s="659"/>
      <c r="D1897" s="659"/>
      <c r="E1897" s="405"/>
      <c r="F1897" s="20"/>
      <c r="G1897" s="838"/>
      <c r="H1897" s="754"/>
      <c r="I1897" s="20"/>
      <c r="J1897" s="20" t="s">
        <v>578</v>
      </c>
      <c r="K1897" s="405">
        <f>SUM(K1894:K1896)</f>
        <v>170.05107073282795</v>
      </c>
      <c r="L1897" s="20" t="s">
        <v>9</v>
      </c>
      <c r="M1897" s="420"/>
      <c r="O1897" s="412"/>
      <c r="P1897" s="391"/>
      <c r="Q1897" s="393"/>
    </row>
    <row r="1898" spans="1:18" ht="30" customHeight="1" x14ac:dyDescent="0.25">
      <c r="A1898" s="20"/>
      <c r="B1898" s="410"/>
      <c r="C1898" s="410"/>
      <c r="D1898" s="410"/>
      <c r="E1898" s="405"/>
      <c r="F1898" s="338" t="s">
        <v>533</v>
      </c>
      <c r="G1898" s="339" t="s">
        <v>534</v>
      </c>
      <c r="H1898" s="339"/>
      <c r="I1898" s="339"/>
      <c r="J1898" s="339"/>
      <c r="K1898" s="340">
        <v>1.08</v>
      </c>
      <c r="L1898" s="10"/>
      <c r="M1898" s="420"/>
      <c r="O1898" s="412"/>
      <c r="P1898" s="391"/>
      <c r="Q1898" s="393"/>
    </row>
    <row r="1899" spans="1:18" ht="30" customHeight="1" x14ac:dyDescent="0.25">
      <c r="A1899" s="20"/>
      <c r="B1899" s="410"/>
      <c r="C1899" s="410"/>
      <c r="D1899" s="410"/>
      <c r="E1899" s="405"/>
      <c r="F1899" s="343"/>
      <c r="G1899" s="344" t="s">
        <v>535</v>
      </c>
      <c r="H1899" s="344"/>
      <c r="I1899" s="344"/>
      <c r="J1899" s="344"/>
      <c r="K1899" s="340">
        <v>1.02</v>
      </c>
      <c r="L1899" s="10"/>
      <c r="M1899" s="1864"/>
      <c r="N1899" s="420"/>
      <c r="O1899"/>
      <c r="P1899" s="412"/>
      <c r="Q1899" s="391"/>
      <c r="R1899" s="393"/>
    </row>
    <row r="1900" spans="1:18" ht="30" customHeight="1" x14ac:dyDescent="0.25">
      <c r="A1900" s="20"/>
      <c r="B1900" s="20"/>
      <c r="C1900" s="18"/>
      <c r="D1900" s="18"/>
      <c r="E1900" s="18"/>
      <c r="F1900" s="18"/>
      <c r="G1900" s="18"/>
      <c r="H1900" s="18"/>
      <c r="I1900" s="18"/>
      <c r="J1900" s="18" t="s">
        <v>358</v>
      </c>
      <c r="K1900" s="23">
        <f>+K1897*K1898/K1899</f>
        <v>180.05407489358254</v>
      </c>
      <c r="L1900" s="20" t="s">
        <v>9</v>
      </c>
      <c r="M1900" s="434"/>
      <c r="N1900" s="420"/>
      <c r="O1900"/>
      <c r="P1900" s="412"/>
      <c r="Q1900" s="391"/>
      <c r="R1900" s="393"/>
    </row>
    <row r="1901" spans="1:18" ht="30" customHeight="1" thickBot="1" x14ac:dyDescent="0.3">
      <c r="A1901" s="20"/>
      <c r="B1901" s="20"/>
      <c r="C1901" s="18"/>
      <c r="D1901" s="18"/>
      <c r="E1901" s="18"/>
      <c r="F1901" s="18"/>
      <c r="G1901" s="413" t="s">
        <v>537</v>
      </c>
      <c r="H1901" s="18"/>
      <c r="I1901" s="18"/>
      <c r="J1901" s="361">
        <f>VLOOKUP(B1892,'Mil Cost Premiums for RUCs'!$A$4:$R$265,18,FALSE)</f>
        <v>1.1932356231980656</v>
      </c>
      <c r="K1901" s="23">
        <f>+K1900*J1901</f>
        <v>214.84693626499515</v>
      </c>
      <c r="L1901" s="20" t="s">
        <v>9</v>
      </c>
      <c r="M1901" s="1865"/>
      <c r="N1901" s="420"/>
      <c r="O1901"/>
      <c r="P1901" s="412"/>
      <c r="Q1901" s="391"/>
      <c r="R1901" s="393"/>
    </row>
    <row r="1902" spans="1:18" ht="30" customHeight="1" thickBot="1" x14ac:dyDescent="0.3">
      <c r="A1902" s="76"/>
      <c r="B1902" s="77"/>
      <c r="C1902" s="77"/>
      <c r="D1902" s="77"/>
      <c r="E1902" s="77"/>
      <c r="F1902" s="77"/>
      <c r="G1902" s="77"/>
      <c r="H1902" s="77"/>
      <c r="I1902" s="77"/>
      <c r="J1902" s="77"/>
      <c r="K1902" s="77"/>
      <c r="L1902" s="78"/>
      <c r="M1902" s="1865"/>
      <c r="N1902" s="420"/>
      <c r="O1902"/>
      <c r="P1902" s="412"/>
      <c r="Q1902" s="391"/>
      <c r="R1902" s="393"/>
    </row>
    <row r="1903" spans="1:18" ht="30" customHeight="1" x14ac:dyDescent="0.25">
      <c r="A1903" s="30" t="s">
        <v>288</v>
      </c>
      <c r="B1903" s="208">
        <v>2231</v>
      </c>
      <c r="C1903" s="1062" t="s">
        <v>1542</v>
      </c>
      <c r="D1903" s="1063"/>
      <c r="E1903" s="177" t="s">
        <v>291</v>
      </c>
      <c r="F1903" s="178" t="s">
        <v>9</v>
      </c>
      <c r="G1903" s="123" t="s">
        <v>375</v>
      </c>
      <c r="H1903" s="539">
        <v>28271</v>
      </c>
      <c r="I1903" s="177" t="s">
        <v>292</v>
      </c>
      <c r="J1903" s="747" t="s">
        <v>883</v>
      </c>
      <c r="K1903" s="747"/>
      <c r="L1903" s="748"/>
      <c r="M1903" s="434"/>
      <c r="N1903" s="420"/>
      <c r="O1903"/>
      <c r="P1903" s="412"/>
      <c r="Q1903" s="391"/>
      <c r="R1903" s="393"/>
    </row>
    <row r="1904" spans="1:18" ht="30" customHeight="1" x14ac:dyDescent="0.25">
      <c r="A1904" s="48" t="s">
        <v>529</v>
      </c>
      <c r="B1904" s="394" t="s">
        <v>560</v>
      </c>
      <c r="C1904" s="395"/>
      <c r="D1904" s="396"/>
      <c r="E1904" s="397" t="s">
        <v>519</v>
      </c>
      <c r="F1904" s="397" t="s">
        <v>561</v>
      </c>
      <c r="G1904" s="493" t="s">
        <v>562</v>
      </c>
      <c r="H1904" s="494"/>
      <c r="I1904" s="181" t="s">
        <v>530</v>
      </c>
      <c r="J1904" s="181"/>
      <c r="K1904" s="288" t="s">
        <v>521</v>
      </c>
      <c r="L1904" s="289"/>
      <c r="M1904" s="1572"/>
      <c r="N1904" s="420"/>
      <c r="O1904"/>
      <c r="P1904" s="412"/>
      <c r="Q1904" s="391"/>
      <c r="R1904" s="393"/>
    </row>
    <row r="1905" spans="1:18" ht="45" customHeight="1" x14ac:dyDescent="0.25">
      <c r="A1905" s="61" t="s">
        <v>758</v>
      </c>
      <c r="B1905" s="402" t="s">
        <v>1543</v>
      </c>
      <c r="C1905" s="403"/>
      <c r="D1905" s="404"/>
      <c r="E1905" s="405">
        <f>143.25-2.29</f>
        <v>140.96</v>
      </c>
      <c r="F1905" s="20" t="s">
        <v>9</v>
      </c>
      <c r="G1905" s="522"/>
      <c r="H1905" s="20"/>
      <c r="I1905" s="20">
        <v>1.06</v>
      </c>
      <c r="J1905" s="20"/>
      <c r="K1905" s="405">
        <f>+E1905*I1905</f>
        <v>149.41760000000002</v>
      </c>
      <c r="L1905" s="20" t="s">
        <v>9</v>
      </c>
      <c r="M1905" s="1028"/>
      <c r="N1905" s="420"/>
      <c r="O1905"/>
      <c r="P1905" s="412"/>
      <c r="Q1905" s="391"/>
      <c r="R1905" s="393"/>
    </row>
    <row r="1906" spans="1:18" ht="30" customHeight="1" x14ac:dyDescent="0.25">
      <c r="A1906" s="61" t="s">
        <v>760</v>
      </c>
      <c r="B1906" s="402" t="s">
        <v>1544</v>
      </c>
      <c r="C1906" s="403"/>
      <c r="D1906" s="404"/>
      <c r="E1906" s="1092">
        <v>210000</v>
      </c>
      <c r="F1906" s="20" t="s">
        <v>1545</v>
      </c>
      <c r="G1906" s="1093">
        <f>+H1903</f>
        <v>28271</v>
      </c>
      <c r="H1906" s="754" t="s">
        <v>1468</v>
      </c>
      <c r="I1906" s="20">
        <v>1.02</v>
      </c>
      <c r="J1906" s="20"/>
      <c r="K1906" s="405">
        <f>(E1906*2)/G1906*I1906</f>
        <v>15.153337342152737</v>
      </c>
      <c r="L1906" s="20" t="s">
        <v>9</v>
      </c>
      <c r="M1906" s="1028"/>
      <c r="N1906" s="420"/>
      <c r="O1906"/>
      <c r="P1906" s="412"/>
      <c r="Q1906" s="391"/>
      <c r="R1906" s="393"/>
    </row>
    <row r="1907" spans="1:18" ht="30" customHeight="1" x14ac:dyDescent="0.25">
      <c r="A1907" s="61" t="s">
        <v>644</v>
      </c>
      <c r="B1907" s="503" t="s">
        <v>1546</v>
      </c>
      <c r="C1907" s="504"/>
      <c r="D1907" s="505"/>
      <c r="E1907" s="405">
        <v>3.31</v>
      </c>
      <c r="F1907" s="730" t="s">
        <v>9</v>
      </c>
      <c r="G1907" s="838"/>
      <c r="H1907" s="754"/>
      <c r="I1907" s="20">
        <v>1.06</v>
      </c>
      <c r="J1907" s="20"/>
      <c r="K1907" s="405">
        <f>+E1907*I1907</f>
        <v>3.5086000000000004</v>
      </c>
      <c r="L1907" s="20" t="s">
        <v>9</v>
      </c>
      <c r="M1907" s="434"/>
      <c r="N1907" s="420"/>
      <c r="O1907"/>
      <c r="P1907" s="412"/>
      <c r="Q1907" s="391"/>
      <c r="R1907" s="393"/>
    </row>
    <row r="1908" spans="1:18" ht="30" customHeight="1" x14ac:dyDescent="0.25">
      <c r="A1908" s="61"/>
      <c r="B1908" s="402"/>
      <c r="C1908" s="403"/>
      <c r="D1908" s="404"/>
      <c r="E1908" s="405"/>
      <c r="F1908" s="20"/>
      <c r="G1908" s="838"/>
      <c r="H1908" s="754"/>
      <c r="I1908" s="20"/>
      <c r="J1908" s="20" t="s">
        <v>578</v>
      </c>
      <c r="K1908" s="405">
        <f>SUM(K1905:K1907)</f>
        <v>168.07953734215275</v>
      </c>
      <c r="L1908" s="20" t="s">
        <v>9</v>
      </c>
      <c r="M1908" s="434"/>
      <c r="N1908" s="420"/>
      <c r="O1908" s="59"/>
      <c r="P1908" s="672"/>
      <c r="Q1908" s="391"/>
      <c r="R1908" s="393"/>
    </row>
    <row r="1909" spans="1:18" ht="30" customHeight="1" x14ac:dyDescent="0.25">
      <c r="A1909" s="61"/>
      <c r="B1909" s="410"/>
      <c r="C1909" s="410"/>
      <c r="D1909" s="410"/>
      <c r="E1909" s="405"/>
      <c r="F1909" s="338" t="s">
        <v>533</v>
      </c>
      <c r="G1909" s="1064" t="s">
        <v>534</v>
      </c>
      <c r="H1909" s="1065"/>
      <c r="I1909" s="1065"/>
      <c r="J1909" s="1066"/>
      <c r="K1909" s="340">
        <v>1.0900000000000001</v>
      </c>
      <c r="L1909" s="10"/>
      <c r="M1909" s="419"/>
      <c r="N1909" s="420"/>
      <c r="O1909" s="1094"/>
      <c r="P1909" s="672"/>
      <c r="Q1909" s="391"/>
      <c r="R1909" s="393"/>
    </row>
    <row r="1910" spans="1:18" ht="30" customHeight="1" x14ac:dyDescent="0.25">
      <c r="A1910" s="61"/>
      <c r="B1910" s="410"/>
      <c r="C1910" s="410"/>
      <c r="D1910" s="410"/>
      <c r="E1910" s="405"/>
      <c r="F1910" s="343"/>
      <c r="G1910" s="1068" t="s">
        <v>535</v>
      </c>
      <c r="H1910" s="1069"/>
      <c r="I1910" s="1069"/>
      <c r="J1910" s="1070"/>
      <c r="K1910" s="340">
        <v>1.02</v>
      </c>
      <c r="L1910" s="10"/>
      <c r="M1910" s="419"/>
      <c r="N1910" s="420"/>
      <c r="O1910" s="59"/>
      <c r="P1910" s="672"/>
      <c r="Q1910" s="391"/>
      <c r="R1910" s="393"/>
    </row>
    <row r="1911" spans="1:18" s="49" customFormat="1" ht="30" customHeight="1" x14ac:dyDescent="0.25">
      <c r="A1911" s="61"/>
      <c r="B1911" s="998" t="s">
        <v>1547</v>
      </c>
      <c r="C1911" s="999"/>
      <c r="D1911" s="1000"/>
      <c r="E1911" s="18"/>
      <c r="F1911" s="18"/>
      <c r="G1911" s="18"/>
      <c r="H1911" s="18"/>
      <c r="I1911" s="18"/>
      <c r="J1911" s="18" t="s">
        <v>358</v>
      </c>
      <c r="K1911" s="23">
        <f>+K1908*K1909/K1910</f>
        <v>179.61440755190836</v>
      </c>
      <c r="L1911" s="20" t="s">
        <v>9</v>
      </c>
      <c r="M1911" s="425"/>
      <c r="N1911" s="420"/>
      <c r="O1911" s="87"/>
      <c r="P1911" s="672"/>
      <c r="Q1911" s="391"/>
      <c r="R1911" s="393"/>
    </row>
    <row r="1912" spans="1:18" ht="30" customHeight="1" thickBot="1" x14ac:dyDescent="0.3">
      <c r="A1912" s="61"/>
      <c r="B1912" s="20"/>
      <c r="C1912" s="18"/>
      <c r="D1912" s="18"/>
      <c r="E1912" s="18"/>
      <c r="F1912" s="18"/>
      <c r="G1912" s="413" t="s">
        <v>537</v>
      </c>
      <c r="H1912" s="18"/>
      <c r="I1912" s="18"/>
      <c r="J1912" s="361">
        <f>VLOOKUP(B1903,'Mil Cost Premiums for RUCs'!$A$4:$R$265,18,FALSE)</f>
        <v>1.1932356231980656</v>
      </c>
      <c r="K1912" s="23">
        <f>+K1911*J1912</f>
        <v>214.32230953055273</v>
      </c>
      <c r="L1912" s="20" t="s">
        <v>9</v>
      </c>
      <c r="N1912" s="420"/>
      <c r="O1912"/>
      <c r="P1912" s="672"/>
      <c r="Q1912" s="391"/>
      <c r="R1912" s="393"/>
    </row>
    <row r="1913" spans="1:18" ht="30" customHeight="1" thickBot="1" x14ac:dyDescent="0.3">
      <c r="A1913" s="76"/>
      <c r="B1913" s="77"/>
      <c r="C1913" s="77"/>
      <c r="D1913" s="77"/>
      <c r="E1913" s="77"/>
      <c r="F1913" s="77"/>
      <c r="G1913" s="77"/>
      <c r="H1913" s="77"/>
      <c r="I1913" s="77"/>
      <c r="J1913" s="77"/>
      <c r="K1913" s="77"/>
      <c r="L1913" s="78"/>
      <c r="N1913" s="420"/>
      <c r="O1913"/>
      <c r="P1913" s="672"/>
      <c r="Q1913" s="391"/>
      <c r="R1913" s="393"/>
    </row>
    <row r="1914" spans="1:18" ht="30" customHeight="1" x14ac:dyDescent="0.25">
      <c r="A1914" s="30" t="s">
        <v>288</v>
      </c>
      <c r="B1914" s="208">
        <v>2241</v>
      </c>
      <c r="C1914" s="209" t="s">
        <v>1548</v>
      </c>
      <c r="D1914" s="210"/>
      <c r="E1914" s="177" t="s">
        <v>291</v>
      </c>
      <c r="F1914" s="178" t="s">
        <v>9</v>
      </c>
      <c r="G1914" s="123" t="s">
        <v>375</v>
      </c>
      <c r="H1914" s="539">
        <v>71018</v>
      </c>
      <c r="I1914" s="177" t="s">
        <v>292</v>
      </c>
      <c r="J1914" s="747" t="s">
        <v>883</v>
      </c>
      <c r="K1914" s="747"/>
      <c r="L1914" s="748"/>
      <c r="M1914" s="419"/>
      <c r="N1914" s="420"/>
      <c r="O1914"/>
      <c r="P1914" s="412"/>
      <c r="Q1914" s="391"/>
      <c r="R1914" s="393"/>
    </row>
    <row r="1915" spans="1:18" ht="30" customHeight="1" x14ac:dyDescent="0.25">
      <c r="A1915" s="48" t="s">
        <v>529</v>
      </c>
      <c r="B1915" s="394" t="s">
        <v>560</v>
      </c>
      <c r="C1915" s="395"/>
      <c r="D1915" s="396"/>
      <c r="E1915" s="397" t="s">
        <v>519</v>
      </c>
      <c r="F1915" s="397" t="s">
        <v>561</v>
      </c>
      <c r="G1915" s="398" t="s">
        <v>562</v>
      </c>
      <c r="H1915" s="399"/>
      <c r="I1915" s="181" t="s">
        <v>530</v>
      </c>
      <c r="J1915" s="181"/>
      <c r="K1915" s="288" t="s">
        <v>521</v>
      </c>
      <c r="L1915" s="289"/>
      <c r="M1915" s="419"/>
      <c r="N1915" s="420"/>
      <c r="O1915"/>
      <c r="P1915" s="412"/>
      <c r="Q1915" s="391"/>
      <c r="R1915" s="393"/>
    </row>
    <row r="1916" spans="1:18" ht="45" customHeight="1" x14ac:dyDescent="0.25">
      <c r="A1916" s="61" t="s">
        <v>758</v>
      </c>
      <c r="B1916" s="402" t="s">
        <v>1543</v>
      </c>
      <c r="C1916" s="403"/>
      <c r="D1916" s="404"/>
      <c r="E1916" s="405">
        <f>143.25-2.29</f>
        <v>140.96</v>
      </c>
      <c r="F1916" s="20" t="s">
        <v>9</v>
      </c>
      <c r="G1916" s="522"/>
      <c r="H1916" s="20"/>
      <c r="I1916" s="20">
        <v>1.06</v>
      </c>
      <c r="J1916" s="20"/>
      <c r="K1916" s="405">
        <f>+E1916*I1916</f>
        <v>149.41760000000002</v>
      </c>
      <c r="L1916" s="20" t="s">
        <v>9</v>
      </c>
      <c r="M1916" s="670"/>
      <c r="N1916" s="671"/>
      <c r="O1916" s="43"/>
      <c r="P1916" s="672"/>
      <c r="Q1916" s="671"/>
      <c r="R1916" s="673"/>
    </row>
    <row r="1917" spans="1:18" ht="30" customHeight="1" x14ac:dyDescent="0.25">
      <c r="A1917" s="61" t="s">
        <v>760</v>
      </c>
      <c r="B1917" s="402" t="s">
        <v>1544</v>
      </c>
      <c r="C1917" s="403"/>
      <c r="D1917" s="404"/>
      <c r="E1917" s="1092">
        <v>210000</v>
      </c>
      <c r="F1917" s="20" t="s">
        <v>11</v>
      </c>
      <c r="G1917" s="1093">
        <f>+H1914</f>
        <v>71018</v>
      </c>
      <c r="H1917" s="754" t="s">
        <v>1468</v>
      </c>
      <c r="I1917" s="20">
        <v>1.02</v>
      </c>
      <c r="J1917" s="20"/>
      <c r="K1917" s="405">
        <f>+E1917/G1917*I1917*2</f>
        <v>6.0322735081247005</v>
      </c>
      <c r="L1917" s="20" t="s">
        <v>9</v>
      </c>
      <c r="M1917" s="670"/>
      <c r="N1917" s="671"/>
      <c r="O1917" s="43"/>
      <c r="P1917" s="672"/>
      <c r="Q1917" s="671"/>
      <c r="R1917" s="673"/>
    </row>
    <row r="1918" spans="1:18" ht="30" customHeight="1" x14ac:dyDescent="0.25">
      <c r="A1918" s="61" t="s">
        <v>644</v>
      </c>
      <c r="B1918" s="503" t="s">
        <v>1549</v>
      </c>
      <c r="C1918" s="504"/>
      <c r="D1918" s="504"/>
      <c r="E1918" s="405">
        <v>2.93</v>
      </c>
      <c r="F1918" s="730" t="s">
        <v>9</v>
      </c>
      <c r="G1918" s="838"/>
      <c r="H1918" s="754"/>
      <c r="I1918" s="20">
        <v>1.06</v>
      </c>
      <c r="J1918" s="20"/>
      <c r="K1918" s="405">
        <f>+E1918*I1918</f>
        <v>3.1058000000000003</v>
      </c>
      <c r="L1918" s="20" t="s">
        <v>9</v>
      </c>
      <c r="M1918" s="419"/>
      <c r="N1918" s="420"/>
      <c r="O1918"/>
      <c r="P1918" s="412"/>
      <c r="Q1918" s="391"/>
      <c r="R1918" s="393"/>
    </row>
    <row r="1919" spans="1:18" ht="30" customHeight="1" x14ac:dyDescent="0.25">
      <c r="A1919" s="61"/>
      <c r="B1919" s="191"/>
      <c r="C1919" s="191"/>
      <c r="D1919" s="191"/>
      <c r="E1919" s="405"/>
      <c r="F1919" s="20"/>
      <c r="G1919" s="838"/>
      <c r="H1919" s="754"/>
      <c r="I1919" s="20"/>
      <c r="J1919" s="20" t="s">
        <v>578</v>
      </c>
      <c r="K1919" s="405">
        <f>SUM(K1916:K1918)</f>
        <v>158.5556735081247</v>
      </c>
      <c r="L1919" s="20" t="s">
        <v>9</v>
      </c>
      <c r="M1919" s="419"/>
      <c r="N1919" s="420"/>
      <c r="O1919"/>
      <c r="P1919" s="412"/>
      <c r="Q1919" s="391"/>
      <c r="R1919" s="393"/>
    </row>
    <row r="1920" spans="1:18" ht="30" customHeight="1" x14ac:dyDescent="0.25">
      <c r="A1920" s="61"/>
      <c r="B1920" s="410"/>
      <c r="C1920" s="410"/>
      <c r="D1920" s="410"/>
      <c r="E1920" s="405"/>
      <c r="F1920" s="338" t="s">
        <v>533</v>
      </c>
      <c r="G1920" s="339" t="s">
        <v>534</v>
      </c>
      <c r="H1920" s="339"/>
      <c r="I1920" s="339"/>
      <c r="J1920" s="339"/>
      <c r="K1920" s="340">
        <v>1.0900000000000001</v>
      </c>
      <c r="L1920" s="10"/>
      <c r="M1920" s="419"/>
      <c r="N1920" s="420"/>
      <c r="O1920"/>
      <c r="P1920" s="412"/>
      <c r="Q1920" s="391"/>
      <c r="R1920" s="393"/>
    </row>
    <row r="1921" spans="1:18" ht="30" customHeight="1" x14ac:dyDescent="0.25">
      <c r="A1921" s="61"/>
      <c r="B1921" s="410"/>
      <c r="C1921" s="410"/>
      <c r="D1921" s="410"/>
      <c r="E1921" s="405"/>
      <c r="F1921" s="343"/>
      <c r="G1921" s="344" t="s">
        <v>535</v>
      </c>
      <c r="H1921" s="344"/>
      <c r="I1921" s="344"/>
      <c r="J1921" s="344"/>
      <c r="K1921" s="340">
        <v>1.02</v>
      </c>
      <c r="L1921" s="10"/>
      <c r="M1921" s="419"/>
      <c r="N1921" s="420"/>
      <c r="O1921"/>
      <c r="P1921" s="412"/>
      <c r="Q1921" s="391"/>
      <c r="R1921" s="393"/>
    </row>
    <row r="1922" spans="1:18" s="49" customFormat="1" ht="30" customHeight="1" x14ac:dyDescent="0.25">
      <c r="A1922" s="61"/>
      <c r="B1922" s="998" t="s">
        <v>1550</v>
      </c>
      <c r="C1922" s="999"/>
      <c r="D1922" s="999"/>
      <c r="E1922" s="1000"/>
      <c r="F1922" s="18"/>
      <c r="G1922" s="18"/>
      <c r="H1922" s="18"/>
      <c r="I1922" s="18"/>
      <c r="J1922" s="18" t="s">
        <v>358</v>
      </c>
      <c r="K1922" s="23">
        <f>+K1919*K1920/K1921</f>
        <v>169.43694521946659</v>
      </c>
      <c r="L1922" s="20" t="s">
        <v>9</v>
      </c>
      <c r="M1922" s="425"/>
      <c r="N1922" s="420"/>
      <c r="P1922" s="412"/>
      <c r="Q1922" s="391"/>
      <c r="R1922" s="393"/>
    </row>
    <row r="1923" spans="1:18" ht="30" customHeight="1" thickBot="1" x14ac:dyDescent="0.3">
      <c r="A1923" s="61"/>
      <c r="B1923" s="20"/>
      <c r="C1923" s="18"/>
      <c r="D1923" s="18"/>
      <c r="E1923" s="18"/>
      <c r="F1923" s="18"/>
      <c r="G1923" s="413" t="s">
        <v>537</v>
      </c>
      <c r="H1923" s="18"/>
      <c r="I1923" s="18"/>
      <c r="J1923" s="361">
        <f>VLOOKUP(B1914,'Mil Cost Premiums for RUCs'!$A$4:$R$265,18,FALSE)</f>
        <v>1.1932356231980656</v>
      </c>
      <c r="K1923" s="23">
        <f>+K1922*J1923</f>
        <v>202.17819892172673</v>
      </c>
      <c r="L1923" s="20" t="s">
        <v>9</v>
      </c>
      <c r="M1923" s="419"/>
      <c r="N1923" s="420"/>
      <c r="O1923"/>
      <c r="P1923" s="412"/>
      <c r="Q1923" s="391"/>
      <c r="R1923" s="393"/>
    </row>
    <row r="1924" spans="1:18" ht="30" customHeight="1" thickBot="1" x14ac:dyDescent="0.3">
      <c r="A1924" s="76"/>
      <c r="B1924" s="77"/>
      <c r="C1924" s="77"/>
      <c r="D1924" s="77"/>
      <c r="E1924" s="77"/>
      <c r="F1924" s="77"/>
      <c r="G1924" s="77"/>
      <c r="H1924" s="77"/>
      <c r="I1924" s="77"/>
      <c r="J1924" s="77"/>
      <c r="K1924" s="77"/>
      <c r="L1924" s="78"/>
      <c r="M1924" s="419"/>
      <c r="N1924" s="420"/>
      <c r="O1924"/>
      <c r="P1924" s="412"/>
      <c r="Q1924" s="391"/>
      <c r="R1924" s="393"/>
    </row>
    <row r="1925" spans="1:18" ht="30" customHeight="1" x14ac:dyDescent="0.25">
      <c r="A1925" s="30" t="s">
        <v>288</v>
      </c>
      <c r="B1925" s="31">
        <v>2242</v>
      </c>
      <c r="C1925" s="161" t="s">
        <v>1551</v>
      </c>
      <c r="D1925" s="162"/>
      <c r="E1925" s="177" t="s">
        <v>291</v>
      </c>
      <c r="F1925" s="178" t="s">
        <v>9</v>
      </c>
      <c r="G1925" s="123" t="s">
        <v>375</v>
      </c>
      <c r="H1925" s="539">
        <v>1576</v>
      </c>
      <c r="I1925" s="177" t="s">
        <v>292</v>
      </c>
      <c r="J1925" s="747" t="s">
        <v>883</v>
      </c>
      <c r="K1925" s="747"/>
      <c r="L1925" s="748"/>
      <c r="M1925" s="419"/>
      <c r="N1925" s="420"/>
      <c r="O1925"/>
      <c r="P1925" s="412"/>
      <c r="Q1925" s="391"/>
      <c r="R1925" s="393"/>
    </row>
    <row r="1926" spans="1:18" ht="30" customHeight="1" x14ac:dyDescent="0.25">
      <c r="A1926" s="48" t="s">
        <v>529</v>
      </c>
      <c r="B1926" s="490" t="s">
        <v>560</v>
      </c>
      <c r="C1926" s="491"/>
      <c r="D1926" s="492"/>
      <c r="E1926" s="397" t="s">
        <v>519</v>
      </c>
      <c r="F1926" s="397" t="s">
        <v>561</v>
      </c>
      <c r="G1926" s="398" t="s">
        <v>562</v>
      </c>
      <c r="H1926" s="399"/>
      <c r="I1926" s="181" t="s">
        <v>530</v>
      </c>
      <c r="J1926" s="181"/>
      <c r="K1926" s="288" t="s">
        <v>521</v>
      </c>
      <c r="L1926" s="289"/>
      <c r="M1926" s="419"/>
      <c r="N1926" s="420"/>
      <c r="O1926"/>
      <c r="P1926" s="412"/>
      <c r="Q1926" s="391"/>
      <c r="R1926" s="393"/>
    </row>
    <row r="1927" spans="1:18" ht="30" customHeight="1" x14ac:dyDescent="0.25">
      <c r="A1927" s="61" t="s">
        <v>758</v>
      </c>
      <c r="B1927" s="402" t="s">
        <v>1552</v>
      </c>
      <c r="C1927" s="403"/>
      <c r="D1927" s="404"/>
      <c r="E1927" s="405">
        <v>72.94</v>
      </c>
      <c r="F1927" s="20" t="s">
        <v>9</v>
      </c>
      <c r="G1927" s="522"/>
      <c r="H1927" s="20"/>
      <c r="I1927" s="20">
        <v>1.05</v>
      </c>
      <c r="J1927" s="20"/>
      <c r="K1927" s="405">
        <f>+E1927*I1927</f>
        <v>76.587000000000003</v>
      </c>
      <c r="L1927" s="20" t="s">
        <v>9</v>
      </c>
      <c r="M1927" s="670"/>
      <c r="N1927" s="671"/>
      <c r="O1927" s="43"/>
      <c r="P1927" s="672"/>
      <c r="Q1927" s="671"/>
      <c r="R1927" s="673"/>
    </row>
    <row r="1928" spans="1:18" ht="30" customHeight="1" x14ac:dyDescent="0.25">
      <c r="A1928" s="61" t="s">
        <v>644</v>
      </c>
      <c r="B1928" s="716" t="s">
        <v>1553</v>
      </c>
      <c r="C1928" s="717"/>
      <c r="D1928" s="717"/>
      <c r="E1928" s="405">
        <v>3.8</v>
      </c>
      <c r="F1928" s="730" t="s">
        <v>9</v>
      </c>
      <c r="G1928" s="838"/>
      <c r="H1928" s="754"/>
      <c r="I1928" s="20">
        <v>1.05</v>
      </c>
      <c r="J1928" s="20"/>
      <c r="K1928" s="405">
        <f>+E1928*I1928</f>
        <v>3.9899999999999998</v>
      </c>
      <c r="L1928" s="20" t="s">
        <v>9</v>
      </c>
      <c r="M1928" s="670"/>
      <c r="N1928" s="671"/>
      <c r="O1928" s="43"/>
      <c r="P1928" s="672"/>
      <c r="Q1928" s="671"/>
      <c r="R1928" s="673"/>
    </row>
    <row r="1929" spans="1:18" ht="30" customHeight="1" x14ac:dyDescent="0.25">
      <c r="A1929" s="61"/>
      <c r="B1929" s="192"/>
      <c r="C1929" s="192"/>
      <c r="D1929" s="192"/>
      <c r="E1929" s="405"/>
      <c r="F1929" s="20"/>
      <c r="G1929" s="838"/>
      <c r="H1929" s="754"/>
      <c r="I1929" s="20"/>
      <c r="J1929" s="20" t="s">
        <v>578</v>
      </c>
      <c r="K1929" s="405">
        <f>SUM(K1927:K1928)</f>
        <v>80.576999999999998</v>
      </c>
      <c r="L1929" s="20" t="s">
        <v>9</v>
      </c>
      <c r="M1929" s="419"/>
      <c r="N1929" s="420"/>
      <c r="O1929"/>
      <c r="P1929" s="412"/>
      <c r="Q1929" s="391"/>
      <c r="R1929" s="393"/>
    </row>
    <row r="1930" spans="1:18" ht="30" customHeight="1" x14ac:dyDescent="0.25">
      <c r="A1930" s="61"/>
      <c r="B1930" s="498"/>
      <c r="C1930" s="498"/>
      <c r="D1930" s="498"/>
      <c r="E1930" s="405"/>
      <c r="F1930" s="338" t="s">
        <v>533</v>
      </c>
      <c r="G1930" s="339" t="s">
        <v>534</v>
      </c>
      <c r="H1930" s="339"/>
      <c r="I1930" s="339"/>
      <c r="J1930" s="339"/>
      <c r="K1930" s="340">
        <v>1.07</v>
      </c>
      <c r="L1930" s="10"/>
      <c r="M1930" s="419"/>
      <c r="N1930" s="420"/>
      <c r="O1930"/>
      <c r="P1930" s="412"/>
      <c r="Q1930" s="391"/>
      <c r="R1930" s="393"/>
    </row>
    <row r="1931" spans="1:18" ht="30" customHeight="1" x14ac:dyDescent="0.25">
      <c r="A1931" s="61"/>
      <c r="B1931" s="498"/>
      <c r="C1931" s="498"/>
      <c r="D1931" s="498"/>
      <c r="E1931" s="405"/>
      <c r="F1931" s="343"/>
      <c r="G1931" s="344" t="s">
        <v>535</v>
      </c>
      <c r="H1931" s="344"/>
      <c r="I1931" s="344"/>
      <c r="J1931" s="344"/>
      <c r="K1931" s="340">
        <v>1.02</v>
      </c>
      <c r="L1931" s="10"/>
      <c r="M1931" s="419"/>
      <c r="N1931" s="420"/>
      <c r="O1931"/>
      <c r="P1931" s="412"/>
      <c r="Q1931" s="391"/>
      <c r="R1931" s="393"/>
    </row>
    <row r="1932" spans="1:18" ht="30" customHeight="1" x14ac:dyDescent="0.25">
      <c r="A1932" s="61"/>
      <c r="B1932" s="61"/>
      <c r="C1932" s="63"/>
      <c r="D1932" s="63"/>
      <c r="E1932" s="18"/>
      <c r="F1932" s="18"/>
      <c r="G1932" s="18"/>
      <c r="H1932" s="18"/>
      <c r="I1932" s="18"/>
      <c r="J1932" s="20" t="s">
        <v>358</v>
      </c>
      <c r="K1932" s="23">
        <f>+K1929*K1930/K1931</f>
        <v>84.526852941176472</v>
      </c>
      <c r="L1932" s="20" t="s">
        <v>9</v>
      </c>
      <c r="M1932" s="419"/>
      <c r="N1932" s="420"/>
      <c r="O1932"/>
      <c r="P1932" s="412"/>
      <c r="Q1932" s="391"/>
      <c r="R1932" s="393"/>
    </row>
    <row r="1933" spans="1:18" s="49" customFormat="1" ht="30" customHeight="1" thickBot="1" x14ac:dyDescent="0.3">
      <c r="A1933" s="631"/>
      <c r="B1933" s="1095" t="s">
        <v>1554</v>
      </c>
      <c r="C1933" s="1096"/>
      <c r="D1933" s="1097"/>
      <c r="E1933" s="18"/>
      <c r="F1933" s="18"/>
      <c r="G1933" s="413" t="s">
        <v>537</v>
      </c>
      <c r="H1933" s="18"/>
      <c r="I1933" s="18"/>
      <c r="J1933" s="361">
        <f>VLOOKUP(B1925,'Mil Cost Premiums for RUCs'!$A$4:$R$265,18,FALSE)</f>
        <v>1.1199953840399997</v>
      </c>
      <c r="K1933" s="23">
        <f>+K1932*J1933</f>
        <v>94.669685121545513</v>
      </c>
      <c r="L1933" s="20" t="s">
        <v>9</v>
      </c>
      <c r="M1933" s="425"/>
      <c r="N1933" s="420"/>
      <c r="P1933" s="412"/>
      <c r="Q1933" s="391"/>
      <c r="R1933" s="393"/>
    </row>
    <row r="1934" spans="1:18" ht="30" customHeight="1" thickBot="1" x14ac:dyDescent="0.3">
      <c r="A1934" s="76"/>
      <c r="B1934" s="77"/>
      <c r="C1934" s="77"/>
      <c r="D1934" s="77"/>
      <c r="E1934" s="77"/>
      <c r="F1934" s="77"/>
      <c r="G1934" s="77"/>
      <c r="H1934" s="77"/>
      <c r="I1934" s="77"/>
      <c r="J1934" s="77"/>
      <c r="K1934" s="77"/>
      <c r="L1934" s="78"/>
      <c r="M1934" s="419"/>
      <c r="N1934" s="420"/>
      <c r="O1934"/>
      <c r="P1934" s="412"/>
      <c r="Q1934" s="391"/>
      <c r="R1934" s="393"/>
    </row>
    <row r="1935" spans="1:18" ht="30" customHeight="1" x14ac:dyDescent="0.25">
      <c r="A1935" s="30" t="s">
        <v>288</v>
      </c>
      <c r="B1935" s="208">
        <v>2251</v>
      </c>
      <c r="C1935" s="209" t="s">
        <v>1555</v>
      </c>
      <c r="D1935" s="210"/>
      <c r="E1935" s="177" t="s">
        <v>291</v>
      </c>
      <c r="F1935" s="178" t="s">
        <v>9</v>
      </c>
      <c r="G1935" s="123" t="s">
        <v>375</v>
      </c>
      <c r="H1935" s="539">
        <v>54942</v>
      </c>
      <c r="I1935" s="177" t="s">
        <v>292</v>
      </c>
      <c r="J1935" s="747" t="s">
        <v>883</v>
      </c>
      <c r="K1935" s="747"/>
      <c r="L1935" s="748"/>
      <c r="M1935" s="419"/>
      <c r="N1935" s="420"/>
      <c r="O1935"/>
      <c r="P1935" s="412"/>
      <c r="Q1935" s="391"/>
      <c r="R1935" s="393"/>
    </row>
    <row r="1936" spans="1:18" ht="30" customHeight="1" x14ac:dyDescent="0.25">
      <c r="A1936" s="48" t="s">
        <v>529</v>
      </c>
      <c r="B1936" s="394" t="s">
        <v>560</v>
      </c>
      <c r="C1936" s="395"/>
      <c r="D1936" s="396"/>
      <c r="E1936" s="397" t="s">
        <v>519</v>
      </c>
      <c r="F1936" s="397" t="s">
        <v>561</v>
      </c>
      <c r="G1936" s="398" t="s">
        <v>562</v>
      </c>
      <c r="H1936" s="399"/>
      <c r="I1936" s="181" t="s">
        <v>530</v>
      </c>
      <c r="J1936" s="181"/>
      <c r="K1936" s="288" t="s">
        <v>521</v>
      </c>
      <c r="L1936" s="289"/>
      <c r="M1936" s="419"/>
      <c r="N1936" s="420"/>
      <c r="O1936"/>
      <c r="P1936" s="412"/>
      <c r="Q1936" s="391"/>
      <c r="R1936" s="393"/>
    </row>
    <row r="1937" spans="1:18" ht="45" customHeight="1" x14ac:dyDescent="0.25">
      <c r="A1937" s="61" t="s">
        <v>758</v>
      </c>
      <c r="B1937" s="402" t="s">
        <v>1556</v>
      </c>
      <c r="C1937" s="403"/>
      <c r="D1937" s="404"/>
      <c r="E1937" s="405">
        <f>149.46-2.29</f>
        <v>147.17000000000002</v>
      </c>
      <c r="F1937" s="20" t="s">
        <v>9</v>
      </c>
      <c r="G1937" s="522"/>
      <c r="H1937" s="20"/>
      <c r="I1937" s="20">
        <v>1.03</v>
      </c>
      <c r="J1937" s="20"/>
      <c r="K1937" s="405">
        <f>+E1937*I1937</f>
        <v>151.58510000000001</v>
      </c>
      <c r="L1937" s="20" t="s">
        <v>9</v>
      </c>
      <c r="M1937" s="419"/>
      <c r="N1937" s="420"/>
      <c r="O1937"/>
      <c r="P1937" s="412"/>
      <c r="Q1937" s="391"/>
      <c r="R1937" s="393"/>
    </row>
    <row r="1938" spans="1:18" ht="30" customHeight="1" x14ac:dyDescent="0.25">
      <c r="A1938" s="61" t="s">
        <v>760</v>
      </c>
      <c r="B1938" s="402" t="s">
        <v>1544</v>
      </c>
      <c r="C1938" s="403"/>
      <c r="D1938" s="404"/>
      <c r="E1938" s="1092">
        <v>210000</v>
      </c>
      <c r="F1938" s="20" t="s">
        <v>11</v>
      </c>
      <c r="G1938" s="1093">
        <f>+H1935</f>
        <v>54942</v>
      </c>
      <c r="H1938" s="754" t="s">
        <v>1468</v>
      </c>
      <c r="I1938" s="20">
        <v>1.02</v>
      </c>
      <c r="J1938" s="20"/>
      <c r="K1938" s="405">
        <f>+(E1938*2)/G1938*I1938</f>
        <v>7.7973135306323034</v>
      </c>
      <c r="L1938" s="20" t="s">
        <v>9</v>
      </c>
      <c r="M1938" s="670"/>
      <c r="N1938" s="671"/>
      <c r="O1938" s="43"/>
      <c r="P1938" s="672"/>
      <c r="Q1938" s="671"/>
      <c r="R1938" s="673"/>
    </row>
    <row r="1939" spans="1:18" ht="30" customHeight="1" x14ac:dyDescent="0.25">
      <c r="A1939" s="61" t="s">
        <v>760</v>
      </c>
      <c r="B1939" s="402" t="s">
        <v>1557</v>
      </c>
      <c r="C1939" s="347"/>
      <c r="D1939" s="348"/>
      <c r="E1939" s="1092">
        <f>(22.2+44.75)/2</f>
        <v>33.475000000000001</v>
      </c>
      <c r="F1939" s="20" t="s">
        <v>7</v>
      </c>
      <c r="G1939" s="1098">
        <v>900</v>
      </c>
      <c r="H1939" s="754" t="s">
        <v>1558</v>
      </c>
      <c r="I1939" s="20">
        <v>1.02</v>
      </c>
      <c r="J1939" s="20"/>
      <c r="K1939" s="405">
        <f>+E1939*G1939/G1938*I1939</f>
        <v>0.55931800808124932</v>
      </c>
      <c r="L1939" s="20" t="s">
        <v>9</v>
      </c>
      <c r="M1939" s="670"/>
      <c r="N1939" s="671"/>
      <c r="O1939" s="43"/>
      <c r="P1939" s="672"/>
      <c r="Q1939" s="671"/>
      <c r="R1939" s="673"/>
    </row>
    <row r="1940" spans="1:18" ht="30" customHeight="1" x14ac:dyDescent="0.25">
      <c r="A1940" s="61" t="s">
        <v>644</v>
      </c>
      <c r="B1940" s="503" t="s">
        <v>1559</v>
      </c>
      <c r="C1940" s="504"/>
      <c r="D1940" s="505"/>
      <c r="E1940" s="405">
        <v>3.04</v>
      </c>
      <c r="F1940" s="730" t="s">
        <v>9</v>
      </c>
      <c r="G1940" s="838"/>
      <c r="H1940" s="754"/>
      <c r="I1940" s="20">
        <v>1.03</v>
      </c>
      <c r="J1940" s="20"/>
      <c r="K1940" s="405">
        <f>+E1940*I1940</f>
        <v>3.1312000000000002</v>
      </c>
      <c r="L1940" s="20" t="s">
        <v>9</v>
      </c>
      <c r="M1940" s="1108"/>
      <c r="N1940" s="420"/>
      <c r="O1940"/>
      <c r="P1940" s="412"/>
      <c r="Q1940" s="391"/>
      <c r="R1940" s="393"/>
    </row>
    <row r="1941" spans="1:18" ht="30" customHeight="1" x14ac:dyDescent="0.25">
      <c r="A1941" s="24" t="s">
        <v>644</v>
      </c>
      <c r="B1941" s="346" t="s">
        <v>1478</v>
      </c>
      <c r="C1941" s="347"/>
      <c r="D1941" s="348"/>
      <c r="E1941" s="326">
        <f>+E1940*0.15</f>
        <v>0.45599999999999996</v>
      </c>
      <c r="F1941" s="730" t="s">
        <v>9</v>
      </c>
      <c r="G1941" s="352"/>
      <c r="H1941" s="326">
        <f>E1941</f>
        <v>0.45599999999999996</v>
      </c>
      <c r="I1941" s="20">
        <v>1.03</v>
      </c>
      <c r="J1941" s="20"/>
      <c r="K1941" s="14">
        <f>+H1941*I1941</f>
        <v>0.46967999999999999</v>
      </c>
      <c r="L1941" s="20" t="s">
        <v>9</v>
      </c>
      <c r="M1941" s="419"/>
      <c r="N1941" s="420"/>
      <c r="O1941"/>
      <c r="P1941" s="412"/>
      <c r="Q1941" s="391"/>
      <c r="R1941" s="393"/>
    </row>
    <row r="1942" spans="1:18" ht="30" customHeight="1" x14ac:dyDescent="0.25">
      <c r="A1942" s="24" t="s">
        <v>644</v>
      </c>
      <c r="B1942" s="346" t="s">
        <v>1320</v>
      </c>
      <c r="C1942" s="347"/>
      <c r="D1942" s="348"/>
      <c r="E1942" s="14">
        <f xml:space="preserve"> 0.53+((1.06+1.57)/2)</f>
        <v>1.845</v>
      </c>
      <c r="F1942" s="730" t="s">
        <v>9</v>
      </c>
      <c r="G1942" s="352"/>
      <c r="H1942" s="14">
        <f>0.53+1.57</f>
        <v>2.1</v>
      </c>
      <c r="I1942" s="20">
        <v>1.03</v>
      </c>
      <c r="J1942" s="20"/>
      <c r="K1942" s="14">
        <f>+H1942*I1942</f>
        <v>2.1630000000000003</v>
      </c>
      <c r="L1942" s="20" t="s">
        <v>9</v>
      </c>
      <c r="M1942" s="419"/>
      <c r="N1942" s="420"/>
      <c r="O1942"/>
      <c r="P1942" s="412"/>
      <c r="Q1942" s="391"/>
      <c r="R1942" s="393"/>
    </row>
    <row r="1943" spans="1:18" ht="30" customHeight="1" x14ac:dyDescent="0.25">
      <c r="A1943" s="61"/>
      <c r="B1943" s="191"/>
      <c r="C1943" s="191"/>
      <c r="D1943" s="191"/>
      <c r="E1943" s="405"/>
      <c r="F1943" s="20"/>
      <c r="G1943" s="838"/>
      <c r="H1943" s="754"/>
      <c r="I1943" s="20"/>
      <c r="J1943" s="20" t="s">
        <v>578</v>
      </c>
      <c r="K1943" s="405">
        <f>SUM(K1937:K1942)</f>
        <v>165.70561153871358</v>
      </c>
      <c r="L1943" s="20" t="s">
        <v>9</v>
      </c>
      <c r="M1943" s="434"/>
      <c r="N1943" s="105"/>
      <c r="O1943"/>
      <c r="P1943" s="412"/>
      <c r="Q1943" s="391"/>
      <c r="R1943" s="393"/>
    </row>
    <row r="1944" spans="1:18" s="49" customFormat="1" ht="30" customHeight="1" x14ac:dyDescent="0.25">
      <c r="A1944" s="61"/>
      <c r="B1944" s="410"/>
      <c r="C1944" s="410"/>
      <c r="D1944" s="410"/>
      <c r="E1944" s="405"/>
      <c r="F1944" s="338" t="s">
        <v>533</v>
      </c>
      <c r="G1944" s="339" t="s">
        <v>534</v>
      </c>
      <c r="H1944" s="339"/>
      <c r="I1944" s="339"/>
      <c r="J1944" s="339"/>
      <c r="K1944" s="340">
        <v>1.08</v>
      </c>
      <c r="L1944" s="10"/>
      <c r="M1944" s="434"/>
      <c r="N1944" s="105"/>
      <c r="P1944" s="412"/>
      <c r="Q1944" s="391"/>
      <c r="R1944" s="393"/>
    </row>
    <row r="1945" spans="1:18" ht="30" customHeight="1" x14ac:dyDescent="0.25">
      <c r="A1945" s="61"/>
      <c r="B1945" s="410"/>
      <c r="C1945" s="410"/>
      <c r="D1945" s="410"/>
      <c r="E1945" s="405"/>
      <c r="F1945" s="343"/>
      <c r="G1945" s="344" t="s">
        <v>535</v>
      </c>
      <c r="H1945" s="344"/>
      <c r="I1945" s="344"/>
      <c r="J1945" s="344"/>
      <c r="K1945" s="340">
        <v>1.02</v>
      </c>
      <c r="L1945" s="10"/>
      <c r="M1945" s="1915"/>
      <c r="N1945" s="1916"/>
      <c r="O1945"/>
      <c r="P1945" s="412"/>
      <c r="Q1945" s="391"/>
      <c r="R1945" s="393"/>
    </row>
    <row r="1946" spans="1:18" ht="30" customHeight="1" x14ac:dyDescent="0.25">
      <c r="A1946" s="61"/>
      <c r="B1946" s="1099" t="s">
        <v>1560</v>
      </c>
      <c r="C1946" s="1100"/>
      <c r="D1946" s="1100"/>
      <c r="E1946" s="1101"/>
      <c r="F1946" s="18"/>
      <c r="G1946" s="18"/>
      <c r="H1946" s="18"/>
      <c r="I1946" s="18"/>
      <c r="J1946" s="20" t="s">
        <v>358</v>
      </c>
      <c r="K1946" s="23">
        <f>+K1943*K1944/K1945</f>
        <v>175.45300045275559</v>
      </c>
      <c r="L1946" s="20" t="s">
        <v>9</v>
      </c>
      <c r="M1946" s="1915"/>
      <c r="N1946" s="1916"/>
      <c r="O1946"/>
      <c r="P1946" s="412"/>
      <c r="Q1946" s="391"/>
      <c r="R1946" s="393"/>
    </row>
    <row r="1947" spans="1:18" ht="30" customHeight="1" thickBot="1" x14ac:dyDescent="0.3">
      <c r="A1947" s="61"/>
      <c r="B1947" s="1102"/>
      <c r="C1947" s="1103"/>
      <c r="D1947" s="1104"/>
      <c r="E1947" s="18"/>
      <c r="F1947" s="18"/>
      <c r="G1947" s="413" t="s">
        <v>537</v>
      </c>
      <c r="H1947" s="18"/>
      <c r="I1947" s="18"/>
      <c r="J1947" s="361">
        <f>VLOOKUP(B1935,'Mil Cost Premiums for RUCs'!$A$4:$R$265,18,FALSE)</f>
        <v>1.1932356231980656</v>
      </c>
      <c r="K1947" s="23">
        <f>+K1946*J1947</f>
        <v>209.3567703372143</v>
      </c>
      <c r="L1947" s="20" t="s">
        <v>9</v>
      </c>
      <c r="M1947" s="419"/>
      <c r="N1947" s="420"/>
      <c r="O1947"/>
      <c r="P1947" s="412"/>
      <c r="Q1947" s="391"/>
      <c r="R1947" s="393"/>
    </row>
    <row r="1948" spans="1:18" ht="30" customHeight="1" thickBot="1" x14ac:dyDescent="0.3">
      <c r="A1948" s="76"/>
      <c r="B1948" s="77"/>
      <c r="C1948" s="77"/>
      <c r="D1948" s="77"/>
      <c r="E1948" s="77"/>
      <c r="F1948" s="77"/>
      <c r="G1948" s="77"/>
      <c r="H1948" s="77"/>
      <c r="I1948" s="77"/>
      <c r="J1948" s="77"/>
      <c r="K1948" s="77"/>
      <c r="L1948" s="78"/>
      <c r="M1948" s="670"/>
      <c r="N1948" s="671"/>
      <c r="O1948" s="43"/>
      <c r="P1948" s="672"/>
      <c r="Q1948" s="671"/>
      <c r="R1948" s="673"/>
    </row>
    <row r="1949" spans="1:18" ht="30" customHeight="1" x14ac:dyDescent="0.25">
      <c r="A1949" s="30" t="s">
        <v>288</v>
      </c>
      <c r="B1949" s="208">
        <v>2252</v>
      </c>
      <c r="C1949" s="209" t="s">
        <v>1561</v>
      </c>
      <c r="D1949" s="210"/>
      <c r="E1949" s="177" t="s">
        <v>291</v>
      </c>
      <c r="F1949" s="178" t="s">
        <v>9</v>
      </c>
      <c r="G1949" s="123" t="s">
        <v>375</v>
      </c>
      <c r="H1949" s="539">
        <v>1504</v>
      </c>
      <c r="I1949" s="177" t="s">
        <v>292</v>
      </c>
      <c r="J1949" s="747" t="s">
        <v>883</v>
      </c>
      <c r="K1949" s="747"/>
      <c r="L1949" s="748"/>
      <c r="M1949" s="670"/>
      <c r="N1949" s="671"/>
      <c r="O1949" s="43"/>
      <c r="P1949" s="672"/>
      <c r="Q1949" s="671"/>
      <c r="R1949" s="673"/>
    </row>
    <row r="1950" spans="1:18" ht="30" customHeight="1" x14ac:dyDescent="0.25">
      <c r="A1950" s="48" t="s">
        <v>529</v>
      </c>
      <c r="B1950" s="394" t="s">
        <v>560</v>
      </c>
      <c r="C1950" s="395"/>
      <c r="D1950" s="396"/>
      <c r="E1950" s="397" t="s">
        <v>519</v>
      </c>
      <c r="F1950" s="397" t="s">
        <v>561</v>
      </c>
      <c r="G1950" s="398" t="s">
        <v>562</v>
      </c>
      <c r="H1950" s="399"/>
      <c r="I1950" s="181" t="s">
        <v>530</v>
      </c>
      <c r="J1950" s="181"/>
      <c r="K1950" s="288" t="s">
        <v>521</v>
      </c>
      <c r="L1950" s="289"/>
      <c r="M1950" s="419"/>
      <c r="N1950" s="420"/>
      <c r="O1950"/>
      <c r="P1950" s="412"/>
      <c r="Q1950" s="391"/>
      <c r="R1950" s="393"/>
    </row>
    <row r="1951" spans="1:18" ht="30" customHeight="1" x14ac:dyDescent="0.25">
      <c r="A1951" s="61" t="s">
        <v>758</v>
      </c>
      <c r="B1951" s="402" t="s">
        <v>1562</v>
      </c>
      <c r="C1951" s="403"/>
      <c r="D1951" s="404"/>
      <c r="E1951" s="405">
        <f>72.94-2.29</f>
        <v>70.649999999999991</v>
      </c>
      <c r="F1951" s="20" t="s">
        <v>9</v>
      </c>
      <c r="G1951" s="522"/>
      <c r="H1951" s="20"/>
      <c r="I1951" s="20">
        <v>1.05</v>
      </c>
      <c r="J1951" s="20"/>
      <c r="K1951" s="405">
        <f>+E1951*I1951</f>
        <v>74.18249999999999</v>
      </c>
      <c r="L1951" s="20" t="s">
        <v>9</v>
      </c>
      <c r="M1951" s="434"/>
      <c r="N1951" s="420"/>
      <c r="O1951"/>
      <c r="P1951" s="412"/>
      <c r="Q1951" s="391"/>
      <c r="R1951" s="393"/>
    </row>
    <row r="1952" spans="1:18" ht="30" customHeight="1" x14ac:dyDescent="0.25">
      <c r="A1952" s="61" t="s">
        <v>644</v>
      </c>
      <c r="B1952" s="503" t="s">
        <v>1563</v>
      </c>
      <c r="C1952" s="504"/>
      <c r="D1952" s="504"/>
      <c r="E1952" s="405">
        <v>4.6100000000000003</v>
      </c>
      <c r="F1952" s="730" t="s">
        <v>9</v>
      </c>
      <c r="G1952" s="838"/>
      <c r="H1952" s="754"/>
      <c r="I1952" s="20">
        <v>1.05</v>
      </c>
      <c r="J1952" s="20"/>
      <c r="K1952" s="405">
        <f>+E1952*I1952</f>
        <v>4.8405000000000005</v>
      </c>
      <c r="L1952" s="20" t="s">
        <v>9</v>
      </c>
      <c r="M1952" s="434"/>
      <c r="N1952" s="420"/>
      <c r="O1952"/>
      <c r="P1952" s="412"/>
      <c r="Q1952" s="391"/>
      <c r="R1952" s="393"/>
    </row>
    <row r="1953" spans="1:20" ht="30" customHeight="1" x14ac:dyDescent="0.25">
      <c r="A1953" s="24" t="s">
        <v>644</v>
      </c>
      <c r="B1953" s="346" t="s">
        <v>1478</v>
      </c>
      <c r="C1953" s="347"/>
      <c r="D1953" s="348"/>
      <c r="E1953" s="326">
        <f>+E1952*0.15</f>
        <v>0.6915</v>
      </c>
      <c r="F1953" s="730" t="s">
        <v>9</v>
      </c>
      <c r="G1953" s="352"/>
      <c r="H1953" s="14">
        <f>E1953</f>
        <v>0.6915</v>
      </c>
      <c r="I1953" s="20">
        <v>1.05</v>
      </c>
      <c r="J1953" s="20"/>
      <c r="K1953" s="14">
        <f>+H1953*I1953</f>
        <v>0.72607500000000003</v>
      </c>
      <c r="L1953" s="20" t="s">
        <v>9</v>
      </c>
      <c r="M1953" s="434"/>
      <c r="N1953" s="420"/>
      <c r="O1953"/>
      <c r="P1953" s="412"/>
      <c r="Q1953" s="391"/>
      <c r="R1953" s="393"/>
    </row>
    <row r="1954" spans="1:20" s="49" customFormat="1" ht="30" customHeight="1" x14ac:dyDescent="0.25">
      <c r="A1954" s="24" t="s">
        <v>644</v>
      </c>
      <c r="B1954" s="346" t="s">
        <v>1320</v>
      </c>
      <c r="C1954" s="347"/>
      <c r="D1954" s="348"/>
      <c r="E1954" s="14">
        <f xml:space="preserve"> 0.53+((1.06+1.57)/2)</f>
        <v>1.845</v>
      </c>
      <c r="F1954" s="730" t="s">
        <v>9</v>
      </c>
      <c r="G1954" s="352"/>
      <c r="H1954" s="14">
        <f>E1954</f>
        <v>1.845</v>
      </c>
      <c r="I1954" s="20">
        <v>1.05</v>
      </c>
      <c r="J1954" s="20"/>
      <c r="K1954" s="14">
        <f>+H1954*I1954</f>
        <v>1.9372500000000001</v>
      </c>
      <c r="L1954" s="20" t="s">
        <v>9</v>
      </c>
      <c r="M1954" s="425"/>
      <c r="N1954" s="420"/>
      <c r="P1954" s="412"/>
      <c r="Q1954" s="391"/>
      <c r="R1954" s="393"/>
    </row>
    <row r="1955" spans="1:20" ht="30" customHeight="1" x14ac:dyDescent="0.25">
      <c r="A1955" s="61"/>
      <c r="B1955" s="191"/>
      <c r="C1955" s="191"/>
      <c r="D1955" s="191"/>
      <c r="E1955" s="405"/>
      <c r="F1955" s="20"/>
      <c r="G1955" s="838"/>
      <c r="H1955" s="754"/>
      <c r="I1955" s="20"/>
      <c r="J1955" s="20" t="s">
        <v>578</v>
      </c>
      <c r="K1955" s="405">
        <f>SUM(K1951:K1954)</f>
        <v>81.686324999999997</v>
      </c>
      <c r="L1955" s="20" t="s">
        <v>9</v>
      </c>
      <c r="M1955" s="419"/>
      <c r="N1955" s="420"/>
      <c r="O1955"/>
      <c r="P1955" s="412"/>
      <c r="Q1955" s="391"/>
      <c r="R1955" s="393"/>
    </row>
    <row r="1956" spans="1:20" ht="30" customHeight="1" x14ac:dyDescent="0.25">
      <c r="A1956" s="61"/>
      <c r="B1956" s="410"/>
      <c r="C1956" s="410"/>
      <c r="D1956" s="410"/>
      <c r="E1956" s="405"/>
      <c r="F1956" s="338" t="s">
        <v>533</v>
      </c>
      <c r="G1956" s="339" t="s">
        <v>534</v>
      </c>
      <c r="H1956" s="339"/>
      <c r="I1956" s="339"/>
      <c r="J1956" s="339"/>
      <c r="K1956" s="340">
        <v>1.07</v>
      </c>
      <c r="L1956" s="10"/>
      <c r="M1956" s="419"/>
      <c r="N1956" s="420"/>
      <c r="O1956"/>
      <c r="P1956" s="412"/>
      <c r="Q1956" s="391"/>
      <c r="R1956" s="393"/>
    </row>
    <row r="1957" spans="1:20" ht="30" customHeight="1" x14ac:dyDescent="0.25">
      <c r="A1957" s="61"/>
      <c r="B1957" s="410"/>
      <c r="C1957" s="410"/>
      <c r="D1957" s="410"/>
      <c r="E1957" s="405"/>
      <c r="F1957" s="343"/>
      <c r="G1957" s="344" t="s">
        <v>535</v>
      </c>
      <c r="H1957" s="344"/>
      <c r="I1957" s="344"/>
      <c r="J1957" s="344"/>
      <c r="K1957" s="340">
        <v>1.02</v>
      </c>
      <c r="L1957" s="10"/>
      <c r="O1957" s="805"/>
      <c r="P1957" s="391"/>
      <c r="T1957" s="393"/>
    </row>
    <row r="1958" spans="1:20" ht="30" customHeight="1" x14ac:dyDescent="0.25">
      <c r="A1958" s="61"/>
      <c r="B1958" s="20"/>
      <c r="C1958" s="18"/>
      <c r="D1958" s="18"/>
      <c r="E1958" s="18"/>
      <c r="F1958" s="18"/>
      <c r="G1958" s="18"/>
      <c r="H1958" s="18"/>
      <c r="I1958" s="18"/>
      <c r="J1958" s="18" t="s">
        <v>358</v>
      </c>
      <c r="K1958" s="23">
        <f>+K1955*K1956/K1957</f>
        <v>85.690556617647061</v>
      </c>
      <c r="L1958" s="20" t="s">
        <v>9</v>
      </c>
      <c r="M1958" s="419"/>
      <c r="N1958" s="420"/>
      <c r="O1958"/>
      <c r="P1958" s="412"/>
      <c r="Q1958" s="391"/>
      <c r="R1958" s="393"/>
    </row>
    <row r="1959" spans="1:20" ht="30" customHeight="1" thickBot="1" x14ac:dyDescent="0.3">
      <c r="A1959" s="61"/>
      <c r="B1959" s="20"/>
      <c r="C1959" s="18"/>
      <c r="D1959" s="18"/>
      <c r="E1959" s="18"/>
      <c r="F1959" s="18"/>
      <c r="G1959" s="413" t="s">
        <v>537</v>
      </c>
      <c r="H1959" s="18"/>
      <c r="I1959" s="18"/>
      <c r="J1959" s="361">
        <f>VLOOKUP(B1949,'Mil Cost Premiums for RUCs'!$A$4:$R$265,18,FALSE)</f>
        <v>1.1932356231980656</v>
      </c>
      <c r="K1959" s="23">
        <f>+K1958*J1959</f>
        <v>102.24902472784721</v>
      </c>
      <c r="L1959" s="20" t="s">
        <v>9</v>
      </c>
      <c r="M1959" s="419"/>
      <c r="N1959" s="420"/>
      <c r="O1959"/>
      <c r="P1959" s="412"/>
      <c r="Q1959" s="391"/>
      <c r="R1959" s="393"/>
    </row>
    <row r="1960" spans="1:20" ht="30" customHeight="1" thickBot="1" x14ac:dyDescent="0.3">
      <c r="A1960" s="76"/>
      <c r="B1960" s="77"/>
      <c r="C1960" s="77"/>
      <c r="D1960" s="77"/>
      <c r="E1960" s="77"/>
      <c r="F1960" s="77"/>
      <c r="G1960" s="77"/>
      <c r="H1960" s="77"/>
      <c r="I1960" s="77"/>
      <c r="J1960" s="77"/>
      <c r="K1960" s="77"/>
      <c r="L1960" s="78"/>
      <c r="M1960" s="419"/>
      <c r="N1960" s="420"/>
      <c r="O1960"/>
      <c r="P1960" s="412"/>
      <c r="Q1960" s="391"/>
      <c r="R1960" s="393"/>
    </row>
    <row r="1961" spans="1:20" ht="30" customHeight="1" x14ac:dyDescent="0.25">
      <c r="A1961" s="30" t="s">
        <v>288</v>
      </c>
      <c r="B1961" s="208">
        <v>2261</v>
      </c>
      <c r="C1961" s="209" t="s">
        <v>1564</v>
      </c>
      <c r="D1961" s="210"/>
      <c r="E1961" s="177" t="s">
        <v>291</v>
      </c>
      <c r="F1961" s="178" t="s">
        <v>9</v>
      </c>
      <c r="G1961" s="123" t="s">
        <v>375</v>
      </c>
      <c r="H1961" s="539">
        <v>6405</v>
      </c>
      <c r="I1961" s="177" t="s">
        <v>292</v>
      </c>
      <c r="J1961" s="747" t="s">
        <v>883</v>
      </c>
      <c r="K1961" s="747"/>
      <c r="L1961" s="748"/>
      <c r="M1961" s="670"/>
      <c r="N1961" s="671"/>
      <c r="O1961" s="43"/>
      <c r="P1961" s="672"/>
      <c r="Q1961" s="671"/>
      <c r="R1961" s="673"/>
    </row>
    <row r="1962" spans="1:20" ht="30" customHeight="1" x14ac:dyDescent="0.25">
      <c r="A1962" s="48" t="s">
        <v>529</v>
      </c>
      <c r="B1962" s="394" t="s">
        <v>560</v>
      </c>
      <c r="C1962" s="395"/>
      <c r="D1962" s="396"/>
      <c r="E1962" s="397" t="s">
        <v>519</v>
      </c>
      <c r="F1962" s="397" t="s">
        <v>561</v>
      </c>
      <c r="G1962" s="398" t="s">
        <v>562</v>
      </c>
      <c r="H1962" s="399"/>
      <c r="I1962" s="181" t="s">
        <v>530</v>
      </c>
      <c r="J1962" s="181"/>
      <c r="K1962" s="288" t="s">
        <v>521</v>
      </c>
      <c r="L1962" s="289"/>
      <c r="M1962" s="670"/>
      <c r="N1962" s="671"/>
      <c r="O1962" s="43"/>
      <c r="P1962" s="672"/>
      <c r="Q1962" s="671"/>
      <c r="R1962" s="673"/>
    </row>
    <row r="1963" spans="1:20" ht="45" customHeight="1" x14ac:dyDescent="0.25">
      <c r="A1963" s="61" t="s">
        <v>758</v>
      </c>
      <c r="B1963" s="402" t="s">
        <v>1565</v>
      </c>
      <c r="C1963" s="403"/>
      <c r="D1963" s="404"/>
      <c r="E1963" s="405">
        <f>149.46-2.29</f>
        <v>147.17000000000002</v>
      </c>
      <c r="F1963" s="20" t="s">
        <v>9</v>
      </c>
      <c r="G1963" s="522"/>
      <c r="H1963" s="20"/>
      <c r="I1963" s="20">
        <v>1.03</v>
      </c>
      <c r="J1963" s="20"/>
      <c r="K1963" s="405">
        <f>+E1963*I1963</f>
        <v>151.58510000000001</v>
      </c>
      <c r="L1963" s="20" t="s">
        <v>9</v>
      </c>
      <c r="M1963" s="419"/>
      <c r="N1963" s="420"/>
      <c r="O1963"/>
      <c r="P1963" s="412"/>
      <c r="Q1963" s="391"/>
      <c r="R1963" s="393"/>
    </row>
    <row r="1964" spans="1:20" ht="30" customHeight="1" x14ac:dyDescent="0.25">
      <c r="A1964" s="61" t="s">
        <v>760</v>
      </c>
      <c r="B1964" s="402" t="s">
        <v>1566</v>
      </c>
      <c r="C1964" s="403"/>
      <c r="D1964" s="404"/>
      <c r="E1964" s="23">
        <v>132000</v>
      </c>
      <c r="F1964" s="20" t="s">
        <v>11</v>
      </c>
      <c r="G1964" s="1093">
        <f>+H1961</f>
        <v>6405</v>
      </c>
      <c r="H1964" s="754" t="s">
        <v>1468</v>
      </c>
      <c r="I1964" s="20">
        <v>1.02</v>
      </c>
      <c r="J1964" s="20"/>
      <c r="K1964" s="405">
        <f>+E1964/G1964*I1964</f>
        <v>21.021077283372367</v>
      </c>
      <c r="L1964" s="20" t="s">
        <v>9</v>
      </c>
      <c r="M1964" s="419"/>
      <c r="N1964" s="420"/>
      <c r="O1964"/>
      <c r="P1964" s="412"/>
      <c r="Q1964" s="391"/>
      <c r="R1964" s="393"/>
    </row>
    <row r="1965" spans="1:20" ht="30" customHeight="1" x14ac:dyDescent="0.25">
      <c r="A1965" s="61" t="s">
        <v>760</v>
      </c>
      <c r="B1965" s="402" t="s">
        <v>1557</v>
      </c>
      <c r="C1965" s="347"/>
      <c r="D1965" s="348"/>
      <c r="E1965" s="1092">
        <f>(22.2+44.75)/2</f>
        <v>33.475000000000001</v>
      </c>
      <c r="F1965" s="20" t="s">
        <v>7</v>
      </c>
      <c r="G1965" s="1098">
        <v>200</v>
      </c>
      <c r="H1965" s="754" t="s">
        <v>1558</v>
      </c>
      <c r="I1965" s="20">
        <v>1.02</v>
      </c>
      <c r="J1965" s="20"/>
      <c r="K1965" s="405">
        <f>+E1965*G1965/G1964*I1965</f>
        <v>1.0661826697892272</v>
      </c>
      <c r="L1965" s="20" t="s">
        <v>9</v>
      </c>
      <c r="M1965" s="419"/>
      <c r="N1965" s="420"/>
      <c r="O1965"/>
      <c r="P1965" s="412"/>
      <c r="Q1965" s="391"/>
      <c r="R1965" s="393"/>
    </row>
    <row r="1966" spans="1:20" ht="30" customHeight="1" x14ac:dyDescent="0.25">
      <c r="A1966" s="61" t="s">
        <v>644</v>
      </c>
      <c r="B1966" s="503" t="s">
        <v>1567</v>
      </c>
      <c r="C1966" s="504"/>
      <c r="D1966" s="504"/>
      <c r="E1966" s="405">
        <v>4.5</v>
      </c>
      <c r="F1966" s="730" t="s">
        <v>9</v>
      </c>
      <c r="G1966" s="838"/>
      <c r="H1966" s="754"/>
      <c r="I1966" s="20">
        <v>1.03</v>
      </c>
      <c r="J1966" s="20"/>
      <c r="K1966" s="405">
        <f>+E1966*I1966</f>
        <v>4.6349999999999998</v>
      </c>
      <c r="L1966" s="20" t="s">
        <v>9</v>
      </c>
      <c r="M1966" s="419"/>
      <c r="N1966" s="420"/>
      <c r="O1966"/>
      <c r="P1966" s="412"/>
      <c r="Q1966" s="391"/>
      <c r="R1966" s="393"/>
    </row>
    <row r="1967" spans="1:20" s="49" customFormat="1" ht="30" customHeight="1" x14ac:dyDescent="0.25">
      <c r="A1967" s="61" t="s">
        <v>644</v>
      </c>
      <c r="B1967" s="346" t="s">
        <v>1478</v>
      </c>
      <c r="C1967" s="347"/>
      <c r="D1967" s="348"/>
      <c r="E1967" s="326">
        <f>+E1966*0.15</f>
        <v>0.67499999999999993</v>
      </c>
      <c r="F1967" s="730"/>
      <c r="G1967" s="838"/>
      <c r="H1967" s="754"/>
      <c r="I1967" s="20">
        <v>1.03</v>
      </c>
      <c r="J1967" s="20"/>
      <c r="K1967" s="405">
        <f>+E1967*I1967</f>
        <v>0.69524999999999992</v>
      </c>
      <c r="L1967" s="20" t="s">
        <v>9</v>
      </c>
      <c r="M1967" s="425"/>
      <c r="N1967" s="420"/>
      <c r="P1967" s="412"/>
      <c r="Q1967" s="391"/>
      <c r="R1967" s="393"/>
    </row>
    <row r="1968" spans="1:20" ht="30" customHeight="1" x14ac:dyDescent="0.25">
      <c r="A1968" s="24" t="s">
        <v>644</v>
      </c>
      <c r="B1968" s="346" t="s">
        <v>1320</v>
      </c>
      <c r="C1968" s="347"/>
      <c r="D1968" s="348"/>
      <c r="E1968" s="14">
        <f xml:space="preserve"> 0.53+((1.06+1.57)/2)</f>
        <v>1.845</v>
      </c>
      <c r="F1968" s="730" t="s">
        <v>9</v>
      </c>
      <c r="G1968" s="352"/>
      <c r="H1968" s="14"/>
      <c r="I1968" s="20">
        <v>1.03</v>
      </c>
      <c r="J1968" s="20"/>
      <c r="K1968" s="14">
        <f>+E1968*I1968</f>
        <v>1.90035</v>
      </c>
      <c r="L1968" s="20" t="s">
        <v>9</v>
      </c>
      <c r="M1968" s="1108"/>
      <c r="N1968" s="420"/>
      <c r="O1968"/>
      <c r="P1968" s="412"/>
      <c r="Q1968" s="391"/>
      <c r="R1968" s="393"/>
    </row>
    <row r="1969" spans="1:18" ht="30" customHeight="1" x14ac:dyDescent="0.25">
      <c r="A1969" s="61"/>
      <c r="B1969" s="191"/>
      <c r="C1969" s="191"/>
      <c r="D1969" s="191"/>
      <c r="E1969" s="405"/>
      <c r="F1969" s="20"/>
      <c r="G1969" s="838"/>
      <c r="H1969" s="754"/>
      <c r="I1969" s="20"/>
      <c r="J1969" s="20" t="s">
        <v>578</v>
      </c>
      <c r="K1969" s="405">
        <f>SUM(K1963:K1968)</f>
        <v>180.90295995316157</v>
      </c>
      <c r="L1969" s="20" t="s">
        <v>9</v>
      </c>
      <c r="M1969" s="419"/>
      <c r="N1969" s="420"/>
      <c r="O1969"/>
      <c r="P1969" s="412"/>
      <c r="Q1969" s="391"/>
      <c r="R1969" s="393"/>
    </row>
    <row r="1970" spans="1:18" ht="30" customHeight="1" x14ac:dyDescent="0.25">
      <c r="A1970" s="61"/>
      <c r="B1970" s="410"/>
      <c r="C1970" s="410"/>
      <c r="D1970" s="410"/>
      <c r="E1970" s="405"/>
      <c r="F1970" s="338" t="s">
        <v>533</v>
      </c>
      <c r="G1970" s="339" t="s">
        <v>534</v>
      </c>
      <c r="H1970" s="339"/>
      <c r="I1970" s="339"/>
      <c r="J1970" s="339"/>
      <c r="K1970" s="340">
        <v>1.08</v>
      </c>
      <c r="L1970" s="10"/>
      <c r="M1970" s="419"/>
      <c r="N1970" s="420"/>
      <c r="O1970"/>
      <c r="P1970" s="412"/>
      <c r="Q1970" s="391"/>
      <c r="R1970" s="393"/>
    </row>
    <row r="1971" spans="1:18" ht="30" customHeight="1" x14ac:dyDescent="0.25">
      <c r="A1971" s="61"/>
      <c r="B1971" s="410"/>
      <c r="C1971" s="410"/>
      <c r="D1971" s="410"/>
      <c r="E1971" s="405"/>
      <c r="F1971" s="343"/>
      <c r="G1971" s="344" t="s">
        <v>535</v>
      </c>
      <c r="H1971" s="344"/>
      <c r="I1971" s="344"/>
      <c r="J1971" s="344"/>
      <c r="K1971" s="340">
        <v>1.02</v>
      </c>
      <c r="L1971" s="10"/>
      <c r="M1971" s="419"/>
      <c r="N1971" s="420"/>
      <c r="O1971"/>
      <c r="P1971" s="412"/>
      <c r="Q1971" s="391"/>
      <c r="R1971" s="393"/>
    </row>
    <row r="1972" spans="1:18" ht="30" customHeight="1" x14ac:dyDescent="0.25">
      <c r="A1972" s="61"/>
      <c r="B1972" s="659" t="s">
        <v>1568</v>
      </c>
      <c r="C1972" s="659"/>
      <c r="D1972" s="659"/>
      <c r="E1972" s="18"/>
      <c r="F1972" s="18"/>
      <c r="G1972" s="18"/>
      <c r="H1972" s="18"/>
      <c r="I1972" s="18"/>
      <c r="J1972" s="18" t="s">
        <v>358</v>
      </c>
      <c r="K1972" s="23">
        <f>+K1969*K1970/K1971</f>
        <v>191.54431053864167</v>
      </c>
      <c r="L1972" s="20" t="s">
        <v>9</v>
      </c>
      <c r="M1972" s="419"/>
      <c r="N1972" s="420"/>
      <c r="O1972"/>
      <c r="P1972" s="412"/>
      <c r="Q1972" s="391"/>
      <c r="R1972" s="393"/>
    </row>
    <row r="1973" spans="1:18" ht="30" customHeight="1" thickBot="1" x14ac:dyDescent="0.3">
      <c r="A1973" s="61"/>
      <c r="B1973" s="1105" t="s">
        <v>1569</v>
      </c>
      <c r="C1973" s="1106"/>
      <c r="D1973" s="1107"/>
      <c r="E1973" s="18"/>
      <c r="F1973" s="18"/>
      <c r="G1973" s="413" t="s">
        <v>537</v>
      </c>
      <c r="H1973" s="18"/>
      <c r="I1973" s="18"/>
      <c r="J1973" s="361">
        <f>VLOOKUP(B1961,'Mil Cost Premiums for RUCs'!$A$4:$R$265,18,FALSE)</f>
        <v>1.1932356231980656</v>
      </c>
      <c r="K1973" s="23">
        <f>+K1972*J1973</f>
        <v>228.5574947556199</v>
      </c>
      <c r="L1973" s="20" t="s">
        <v>9</v>
      </c>
      <c r="M1973" s="670"/>
      <c r="N1973" s="671"/>
      <c r="O1973" s="43"/>
      <c r="P1973" s="672"/>
      <c r="Q1973" s="671"/>
      <c r="R1973" s="673"/>
    </row>
    <row r="1974" spans="1:18" ht="30" customHeight="1" thickBot="1" x14ac:dyDescent="0.3">
      <c r="A1974" s="76"/>
      <c r="B1974" s="77"/>
      <c r="C1974" s="77"/>
      <c r="D1974" s="77"/>
      <c r="E1974" s="77"/>
      <c r="F1974" s="77"/>
      <c r="G1974" s="77"/>
      <c r="H1974" s="77"/>
      <c r="I1974" s="77"/>
      <c r="J1974" s="77"/>
      <c r="K1974" s="77"/>
      <c r="L1974" s="78"/>
      <c r="M1974" s="670"/>
      <c r="N1974" s="671"/>
      <c r="O1974" s="43"/>
      <c r="P1974" s="672"/>
      <c r="Q1974" s="671"/>
      <c r="R1974" s="673"/>
    </row>
    <row r="1975" spans="1:18" ht="30" customHeight="1" x14ac:dyDescent="0.25">
      <c r="A1975" s="30" t="s">
        <v>288</v>
      </c>
      <c r="B1975" s="208">
        <v>2262</v>
      </c>
      <c r="C1975" s="209" t="s">
        <v>1570</v>
      </c>
      <c r="D1975" s="210"/>
      <c r="E1975" s="177" t="s">
        <v>291</v>
      </c>
      <c r="F1975" s="178" t="s">
        <v>9</v>
      </c>
      <c r="G1975" s="123" t="s">
        <v>375</v>
      </c>
      <c r="H1975" s="539">
        <v>2969</v>
      </c>
      <c r="I1975" s="177" t="s">
        <v>292</v>
      </c>
      <c r="J1975" s="747" t="s">
        <v>883</v>
      </c>
      <c r="K1975" s="747"/>
      <c r="L1975" s="748"/>
      <c r="M1975" s="419"/>
      <c r="N1975" s="420"/>
      <c r="O1975"/>
      <c r="P1975" s="412"/>
      <c r="Q1975" s="391"/>
      <c r="R1975" s="393"/>
    </row>
    <row r="1976" spans="1:18" ht="30" customHeight="1" x14ac:dyDescent="0.25">
      <c r="A1976" s="48" t="s">
        <v>529</v>
      </c>
      <c r="B1976" s="394" t="s">
        <v>560</v>
      </c>
      <c r="C1976" s="395"/>
      <c r="D1976" s="396"/>
      <c r="E1976" s="397" t="s">
        <v>519</v>
      </c>
      <c r="F1976" s="397" t="s">
        <v>561</v>
      </c>
      <c r="G1976" s="398" t="s">
        <v>562</v>
      </c>
      <c r="H1976" s="399"/>
      <c r="I1976" s="181" t="s">
        <v>530</v>
      </c>
      <c r="J1976" s="181"/>
      <c r="K1976" s="288" t="s">
        <v>521</v>
      </c>
      <c r="L1976" s="289"/>
      <c r="M1976" s="419"/>
      <c r="N1976" s="420"/>
      <c r="O1976"/>
      <c r="P1976" s="412"/>
      <c r="Q1976" s="391"/>
      <c r="R1976" s="393"/>
    </row>
    <row r="1977" spans="1:18" ht="45" customHeight="1" x14ac:dyDescent="0.25">
      <c r="A1977" s="61" t="s">
        <v>758</v>
      </c>
      <c r="B1977" s="402" t="s">
        <v>1571</v>
      </c>
      <c r="C1977" s="403"/>
      <c r="D1977" s="404"/>
      <c r="E1977" s="405">
        <f>149.46-2.29</f>
        <v>147.17000000000002</v>
      </c>
      <c r="F1977" s="20" t="s">
        <v>9</v>
      </c>
      <c r="G1977" s="522"/>
      <c r="H1977" s="20"/>
      <c r="I1977" s="20">
        <v>1.06</v>
      </c>
      <c r="J1977" s="20"/>
      <c r="K1977" s="405">
        <f>+E1977*I1977</f>
        <v>156.00020000000004</v>
      </c>
      <c r="L1977" s="20" t="s">
        <v>9</v>
      </c>
      <c r="M1977" s="419"/>
      <c r="N1977" s="420"/>
      <c r="O1977"/>
      <c r="P1977" s="412"/>
      <c r="Q1977" s="391"/>
      <c r="R1977" s="393"/>
    </row>
    <row r="1978" spans="1:18" ht="30" customHeight="1" x14ac:dyDescent="0.25">
      <c r="A1978" s="61" t="s">
        <v>644</v>
      </c>
      <c r="B1978" s="503" t="s">
        <v>1553</v>
      </c>
      <c r="C1978" s="504"/>
      <c r="D1978" s="504"/>
      <c r="E1978" s="405">
        <v>3.8</v>
      </c>
      <c r="F1978" s="730" t="s">
        <v>9</v>
      </c>
      <c r="G1978" s="838"/>
      <c r="H1978" s="754"/>
      <c r="I1978" s="20">
        <v>1.06</v>
      </c>
      <c r="J1978" s="20"/>
      <c r="K1978" s="405">
        <f>+E1978*I1978</f>
        <v>4.0279999999999996</v>
      </c>
      <c r="L1978" s="20" t="s">
        <v>9</v>
      </c>
      <c r="M1978" s="1108"/>
      <c r="N1978" s="420"/>
      <c r="O1978"/>
      <c r="P1978" s="412"/>
      <c r="Q1978" s="391"/>
      <c r="R1978" s="393"/>
    </row>
    <row r="1979" spans="1:18" s="49" customFormat="1" ht="30" customHeight="1" x14ac:dyDescent="0.25">
      <c r="A1979" s="24" t="s">
        <v>644</v>
      </c>
      <c r="B1979" s="346" t="s">
        <v>1478</v>
      </c>
      <c r="C1979" s="347"/>
      <c r="D1979" s="348"/>
      <c r="E1979" s="326">
        <f>+E1978*0.15</f>
        <v>0.56999999999999995</v>
      </c>
      <c r="F1979" s="730" t="s">
        <v>9</v>
      </c>
      <c r="G1979" s="352"/>
      <c r="H1979" s="14">
        <f>E1979</f>
        <v>0.56999999999999995</v>
      </c>
      <c r="I1979" s="20">
        <v>1.06</v>
      </c>
      <c r="J1979" s="20"/>
      <c r="K1979" s="14">
        <f>+H1979*I1979</f>
        <v>0.60419999999999996</v>
      </c>
      <c r="L1979" s="20" t="s">
        <v>9</v>
      </c>
      <c r="M1979" s="1572"/>
      <c r="N1979" s="420"/>
      <c r="P1979" s="412"/>
      <c r="Q1979" s="391"/>
      <c r="R1979" s="393"/>
    </row>
    <row r="1980" spans="1:18" ht="30" customHeight="1" x14ac:dyDescent="0.25">
      <c r="A1980" s="24" t="s">
        <v>644</v>
      </c>
      <c r="B1980" s="346" t="s">
        <v>1320</v>
      </c>
      <c r="C1980" s="347"/>
      <c r="D1980" s="348"/>
      <c r="E1980" s="14">
        <f xml:space="preserve"> 0.53+((1.06+1.57)/2)</f>
        <v>1.845</v>
      </c>
      <c r="F1980" s="730" t="s">
        <v>9</v>
      </c>
      <c r="G1980" s="352"/>
      <c r="H1980" s="14">
        <f>E1980</f>
        <v>1.845</v>
      </c>
      <c r="I1980" s="20">
        <v>1.06</v>
      </c>
      <c r="J1980" s="20"/>
      <c r="K1980" s="14">
        <f>+H1980*I1980</f>
        <v>1.9557</v>
      </c>
      <c r="L1980" s="20" t="s">
        <v>9</v>
      </c>
      <c r="M1980" s="419"/>
      <c r="N1980" s="420"/>
      <c r="O1980"/>
      <c r="P1980" s="412"/>
      <c r="Q1980" s="391"/>
      <c r="R1980" s="393"/>
    </row>
    <row r="1981" spans="1:18" ht="30" customHeight="1" x14ac:dyDescent="0.25">
      <c r="A1981" s="61"/>
      <c r="B1981" s="191"/>
      <c r="C1981" s="191"/>
      <c r="D1981" s="191"/>
      <c r="E1981" s="405"/>
      <c r="F1981" s="20"/>
      <c r="G1981" s="838"/>
      <c r="H1981" s="754"/>
      <c r="I1981" s="20"/>
      <c r="J1981" s="20" t="s">
        <v>578</v>
      </c>
      <c r="K1981" s="405">
        <f>SUM(K1977:K1978)</f>
        <v>160.02820000000003</v>
      </c>
      <c r="L1981" s="20" t="s">
        <v>9</v>
      </c>
      <c r="M1981" s="419"/>
      <c r="N1981" s="420"/>
      <c r="O1981"/>
      <c r="P1981" s="412"/>
      <c r="Q1981" s="391"/>
      <c r="R1981" s="393"/>
    </row>
    <row r="1982" spans="1:18" ht="30" customHeight="1" x14ac:dyDescent="0.25">
      <c r="A1982" s="61"/>
      <c r="B1982" s="410"/>
      <c r="C1982" s="410"/>
      <c r="D1982" s="410"/>
      <c r="E1982" s="405"/>
      <c r="F1982" s="338" t="s">
        <v>533</v>
      </c>
      <c r="G1982" s="339" t="s">
        <v>534</v>
      </c>
      <c r="H1982" s="339"/>
      <c r="I1982" s="339"/>
      <c r="J1982" s="339"/>
      <c r="K1982" s="340">
        <v>1.08</v>
      </c>
      <c r="L1982" s="10"/>
      <c r="M1982" s="419"/>
      <c r="N1982" s="420"/>
      <c r="O1982"/>
      <c r="P1982" s="412"/>
      <c r="Q1982" s="391"/>
      <c r="R1982" s="393"/>
    </row>
    <row r="1983" spans="1:18" ht="30" customHeight="1" x14ac:dyDescent="0.25">
      <c r="A1983" s="61"/>
      <c r="B1983" s="410"/>
      <c r="C1983" s="410"/>
      <c r="D1983" s="410"/>
      <c r="E1983" s="405"/>
      <c r="F1983" s="343"/>
      <c r="G1983" s="344" t="s">
        <v>535</v>
      </c>
      <c r="H1983" s="344"/>
      <c r="I1983" s="344"/>
      <c r="J1983" s="344"/>
      <c r="K1983" s="340">
        <v>1.02</v>
      </c>
      <c r="L1983" s="10"/>
      <c r="M1983" s="419"/>
      <c r="N1983" s="420"/>
      <c r="O1983"/>
      <c r="P1983" s="412"/>
      <c r="Q1983" s="391"/>
      <c r="R1983" s="393"/>
    </row>
    <row r="1984" spans="1:18" ht="30" customHeight="1" x14ac:dyDescent="0.25">
      <c r="A1984" s="61"/>
      <c r="B1984" s="20"/>
      <c r="C1984" s="18"/>
      <c r="D1984" s="18"/>
      <c r="E1984" s="18"/>
      <c r="F1984" s="18"/>
      <c r="G1984" s="18"/>
      <c r="H1984" s="18"/>
      <c r="I1984" s="18"/>
      <c r="J1984" s="18" t="s">
        <v>358</v>
      </c>
      <c r="K1984" s="23">
        <f>+K1981*K1982/K1983</f>
        <v>169.4416235294118</v>
      </c>
      <c r="L1984" s="20" t="s">
        <v>9</v>
      </c>
      <c r="N1984" s="420"/>
      <c r="O1984"/>
      <c r="P1984" s="412"/>
      <c r="Q1984" s="391"/>
      <c r="R1984" s="393"/>
    </row>
    <row r="1985" spans="1:21" ht="30" customHeight="1" thickBot="1" x14ac:dyDescent="0.3">
      <c r="A1985" s="61"/>
      <c r="B1985" s="20"/>
      <c r="C1985" s="18"/>
      <c r="D1985" s="18"/>
      <c r="E1985" s="18"/>
      <c r="F1985" s="18"/>
      <c r="G1985" s="413" t="s">
        <v>537</v>
      </c>
      <c r="H1985" s="18"/>
      <c r="I1985" s="18"/>
      <c r="J1985" s="361">
        <f>VLOOKUP(B1975,'Mil Cost Premiums for RUCs'!$A$4:$R$265,18,FALSE)</f>
        <v>1.0905505199999999</v>
      </c>
      <c r="K1985" s="23">
        <f>+K1984*J1985</f>
        <v>184.78465064964425</v>
      </c>
      <c r="L1985" s="20" t="s">
        <v>9</v>
      </c>
      <c r="M1985" s="419"/>
      <c r="N1985" s="420"/>
      <c r="O1985"/>
      <c r="P1985" s="412"/>
      <c r="Q1985" s="391"/>
      <c r="R1985" s="393"/>
    </row>
    <row r="1986" spans="1:21" ht="30" customHeight="1" thickBot="1" x14ac:dyDescent="0.3">
      <c r="A1986" s="76"/>
      <c r="B1986" s="77"/>
      <c r="C1986" s="77"/>
      <c r="D1986" s="77"/>
      <c r="E1986" s="77"/>
      <c r="F1986" s="77"/>
      <c r="G1986" s="77"/>
      <c r="H1986" s="77"/>
      <c r="I1986" s="77"/>
      <c r="J1986" s="77"/>
      <c r="K1986" s="77"/>
      <c r="L1986" s="78"/>
      <c r="M1986" s="419"/>
      <c r="N1986" s="420"/>
      <c r="O1986"/>
      <c r="P1986" s="412"/>
      <c r="Q1986" s="391"/>
      <c r="R1986" s="393"/>
    </row>
    <row r="1987" spans="1:21" ht="30" customHeight="1" x14ac:dyDescent="0.25">
      <c r="A1987" s="207" t="s">
        <v>288</v>
      </c>
      <c r="B1987" s="208">
        <v>2264</v>
      </c>
      <c r="C1987" s="282" t="s">
        <v>1572</v>
      </c>
      <c r="D1987" s="283"/>
      <c r="E1987" s="177" t="s">
        <v>291</v>
      </c>
      <c r="F1987" s="178" t="s">
        <v>9</v>
      </c>
      <c r="G1987" s="123" t="s">
        <v>375</v>
      </c>
      <c r="H1987" s="302">
        <v>5092</v>
      </c>
      <c r="I1987" s="177" t="s">
        <v>292</v>
      </c>
      <c r="J1987" s="38" t="s">
        <v>1573</v>
      </c>
      <c r="K1987" s="39"/>
      <c r="L1987" s="40"/>
      <c r="M1987" s="670"/>
      <c r="N1987" s="671"/>
      <c r="O1987" s="43"/>
      <c r="P1987" s="672"/>
      <c r="Q1987" s="671"/>
      <c r="R1987" s="673"/>
    </row>
    <row r="1988" spans="1:21" ht="30" customHeight="1" x14ac:dyDescent="0.25">
      <c r="A1988" s="181" t="s">
        <v>517</v>
      </c>
      <c r="B1988" s="180" t="s">
        <v>295</v>
      </c>
      <c r="C1988" s="180"/>
      <c r="D1988" s="180"/>
      <c r="E1988" s="285" t="s">
        <v>519</v>
      </c>
      <c r="F1988" s="181" t="s">
        <v>518</v>
      </c>
      <c r="G1988" s="665" t="s">
        <v>2</v>
      </c>
      <c r="H1988" s="666"/>
      <c r="I1988" s="286" t="s">
        <v>520</v>
      </c>
      <c r="J1988" s="287"/>
      <c r="K1988" s="493" t="s">
        <v>521</v>
      </c>
      <c r="L1988" s="494"/>
      <c r="M1988" s="670"/>
      <c r="N1988" s="671"/>
      <c r="O1988" s="43"/>
      <c r="P1988" s="672"/>
      <c r="Q1988" s="671"/>
      <c r="R1988" s="673"/>
    </row>
    <row r="1989" spans="1:21" ht="30" customHeight="1" x14ac:dyDescent="0.25">
      <c r="A1989" s="20">
        <v>21630</v>
      </c>
      <c r="B1989" s="503" t="s">
        <v>1574</v>
      </c>
      <c r="C1989" s="504"/>
      <c r="D1989" s="505"/>
      <c r="E1989" s="405">
        <v>1064</v>
      </c>
      <c r="F1989" s="729">
        <v>82500</v>
      </c>
      <c r="G1989" s="680" t="s">
        <v>9</v>
      </c>
      <c r="H1989" s="680"/>
      <c r="I1989" s="1109">
        <f>+'MILCON Inflation Table'!F8</f>
        <v>1.2318227593152065</v>
      </c>
      <c r="J1989" s="1110"/>
      <c r="K1989" s="304">
        <f>+E1989*I1989</f>
        <v>1310.6594159113797</v>
      </c>
      <c r="L1989" s="290" t="s">
        <v>9</v>
      </c>
      <c r="M1989" s="419"/>
      <c r="N1989" s="420"/>
      <c r="O1989"/>
      <c r="P1989" s="412"/>
      <c r="Q1989" s="391"/>
      <c r="R1989" s="393"/>
    </row>
    <row r="1990" spans="1:21" ht="30" customHeight="1" thickBot="1" x14ac:dyDescent="0.3">
      <c r="A1990" s="20"/>
      <c r="B1990" s="503"/>
      <c r="C1990" s="504"/>
      <c r="D1990" s="505"/>
      <c r="E1990" s="465"/>
      <c r="F1990" s="763"/>
      <c r="G1990" s="465"/>
      <c r="H1990" s="764"/>
      <c r="I1990" s="18"/>
      <c r="J1990" s="18" t="s">
        <v>358</v>
      </c>
      <c r="K1990" s="305">
        <f>AVERAGE(K1989:K1989)</f>
        <v>1310.6594159113797</v>
      </c>
      <c r="L1990" s="290" t="s">
        <v>9</v>
      </c>
      <c r="M1990" s="419"/>
      <c r="N1990" s="420"/>
      <c r="O1990"/>
      <c r="P1990" s="412"/>
      <c r="Q1990" s="391"/>
      <c r="R1990" s="393"/>
    </row>
    <row r="1991" spans="1:21" ht="30" customHeight="1" thickBot="1" x14ac:dyDescent="0.3">
      <c r="A1991" s="76"/>
      <c r="B1991" s="77"/>
      <c r="C1991" s="77"/>
      <c r="D1991" s="77"/>
      <c r="E1991" s="77"/>
      <c r="F1991" s="77"/>
      <c r="G1991" s="77"/>
      <c r="H1991" s="77"/>
      <c r="I1991" s="77"/>
      <c r="J1991" s="77"/>
      <c r="K1991" s="77"/>
      <c r="L1991" s="78"/>
      <c r="M1991" s="419"/>
      <c r="N1991" s="420"/>
      <c r="O1991"/>
      <c r="P1991" s="412"/>
      <c r="Q1991" s="391"/>
      <c r="R1991" s="393"/>
    </row>
    <row r="1992" spans="1:21" ht="30" customHeight="1" x14ac:dyDescent="0.25">
      <c r="A1992" s="30" t="s">
        <v>288</v>
      </c>
      <c r="B1992" s="208">
        <v>2265</v>
      </c>
      <c r="C1992" s="484" t="s">
        <v>1575</v>
      </c>
      <c r="D1992" s="485"/>
      <c r="E1992" s="36" t="s">
        <v>291</v>
      </c>
      <c r="F1992" s="37" t="s">
        <v>11</v>
      </c>
      <c r="G1992" s="163" t="s">
        <v>290</v>
      </c>
      <c r="H1992" s="721">
        <v>1</v>
      </c>
      <c r="I1992" s="36" t="s">
        <v>292</v>
      </c>
      <c r="J1992" s="38" t="s">
        <v>623</v>
      </c>
      <c r="K1992" s="39"/>
      <c r="L1992" s="40"/>
      <c r="M1992" s="419"/>
      <c r="N1992" s="420"/>
      <c r="O1992"/>
      <c r="P1992" s="412"/>
      <c r="Q1992" s="391"/>
      <c r="R1992" s="393"/>
    </row>
    <row r="1993" spans="1:21" s="49" customFormat="1" ht="30" customHeight="1" x14ac:dyDescent="0.25">
      <c r="A1993" s="48" t="s">
        <v>529</v>
      </c>
      <c r="B1993" s="490" t="s">
        <v>560</v>
      </c>
      <c r="C1993" s="491"/>
      <c r="D1993" s="492"/>
      <c r="E1993" s="793" t="s">
        <v>519</v>
      </c>
      <c r="F1993" s="793" t="s">
        <v>561</v>
      </c>
      <c r="G1993" s="626" t="s">
        <v>562</v>
      </c>
      <c r="H1993" s="627"/>
      <c r="I1993" s="286" t="s">
        <v>520</v>
      </c>
      <c r="J1993" s="287"/>
      <c r="K1993" s="507" t="s">
        <v>521</v>
      </c>
      <c r="L1993" s="508"/>
      <c r="M1993" s="425"/>
      <c r="N1993" s="420"/>
      <c r="P1993" s="412"/>
      <c r="Q1993" s="391"/>
      <c r="R1993" s="393"/>
    </row>
    <row r="1994" spans="1:21" ht="30" customHeight="1" x14ac:dyDescent="0.25">
      <c r="A1994" s="61">
        <v>93210</v>
      </c>
      <c r="B1994" s="402" t="s">
        <v>1576</v>
      </c>
      <c r="C1994" s="403"/>
      <c r="D1994" s="404"/>
      <c r="E1994" s="756">
        <v>35.1</v>
      </c>
      <c r="F1994" s="22" t="s">
        <v>307</v>
      </c>
      <c r="G1994" s="757">
        <f>+E1998/3</f>
        <v>3309.3333333333335</v>
      </c>
      <c r="H1994" s="758" t="s">
        <v>791</v>
      </c>
      <c r="I1994" s="595">
        <f>+'MILCON Inflation Table'!$F$17</f>
        <v>0.9432470865927236</v>
      </c>
      <c r="J1994" s="596"/>
      <c r="K1994" s="904">
        <f>+E1994*G1994*I1994</f>
        <v>109565.31778560295</v>
      </c>
      <c r="L1994" s="22" t="s">
        <v>11</v>
      </c>
      <c r="M1994" s="419"/>
      <c r="N1994" s="420"/>
      <c r="O1994"/>
      <c r="P1994" s="412"/>
      <c r="Q1994" s="391"/>
      <c r="R1994" s="393"/>
    </row>
    <row r="1995" spans="1:21" ht="30" customHeight="1" x14ac:dyDescent="0.25">
      <c r="A1995" s="61">
        <v>93410</v>
      </c>
      <c r="B1995" s="402" t="s">
        <v>1577</v>
      </c>
      <c r="C1995" s="403"/>
      <c r="D1995" s="404"/>
      <c r="E1995" s="756">
        <v>8</v>
      </c>
      <c r="F1995" s="22" t="s">
        <v>307</v>
      </c>
      <c r="G1995" s="757">
        <f>+E1998*0.3333</f>
        <v>3309.0023999999999</v>
      </c>
      <c r="H1995" s="758" t="s">
        <v>791</v>
      </c>
      <c r="I1995" s="595">
        <f>+'MILCON Inflation Table'!$F$17</f>
        <v>0.9432470865927236</v>
      </c>
      <c r="J1995" s="596"/>
      <c r="K1995" s="904">
        <f>+E1995*G1995*I1995</f>
        <v>24969.65498662664</v>
      </c>
      <c r="L1995" s="22" t="s">
        <v>11</v>
      </c>
      <c r="M1995" s="419"/>
      <c r="N1995" s="420"/>
      <c r="O1995"/>
      <c r="P1995" s="412"/>
      <c r="Q1995" s="391"/>
      <c r="R1995" s="393"/>
    </row>
    <row r="1996" spans="1:21" ht="30" customHeight="1" x14ac:dyDescent="0.25">
      <c r="A1996" s="61">
        <v>93410</v>
      </c>
      <c r="B1996" s="402" t="s">
        <v>1578</v>
      </c>
      <c r="C1996" s="403"/>
      <c r="D1996" s="404"/>
      <c r="E1996" s="756">
        <v>3.4</v>
      </c>
      <c r="F1996" s="22" t="s">
        <v>3</v>
      </c>
      <c r="G1996" s="757">
        <f>+E1998</f>
        <v>9928</v>
      </c>
      <c r="H1996" s="758" t="s">
        <v>794</v>
      </c>
      <c r="I1996" s="595">
        <f>+'MILCON Inflation Table'!$F$17</f>
        <v>0.9432470865927236</v>
      </c>
      <c r="J1996" s="596"/>
      <c r="K1996" s="904">
        <f>+E1996*G1996*I1996</f>
        <v>31839.494057354703</v>
      </c>
      <c r="L1996" s="22" t="s">
        <v>11</v>
      </c>
      <c r="N1996" s="420"/>
      <c r="O1996"/>
      <c r="P1996" s="412"/>
      <c r="Q1996" s="391"/>
      <c r="R1996" s="393"/>
    </row>
    <row r="1997" spans="1:21" ht="30" customHeight="1" x14ac:dyDescent="0.25">
      <c r="A1997" s="61">
        <v>93210</v>
      </c>
      <c r="B1997" s="402" t="s">
        <v>1579</v>
      </c>
      <c r="C1997" s="403"/>
      <c r="D1997" s="404"/>
      <c r="E1997" s="756">
        <v>44.9</v>
      </c>
      <c r="F1997" s="22" t="s">
        <v>307</v>
      </c>
      <c r="G1997" s="757">
        <f>+E1998*0.22222</f>
        <v>2206.2001599999999</v>
      </c>
      <c r="H1997" s="758" t="s">
        <v>791</v>
      </c>
      <c r="I1997" s="595">
        <f>+'MILCON Inflation Table'!$F$17</f>
        <v>0.9432470865927236</v>
      </c>
      <c r="J1997" s="596"/>
      <c r="K1997" s="904">
        <f>+E1997*G1997*I1997</f>
        <v>93436.535113881982</v>
      </c>
      <c r="L1997" s="22" t="s">
        <v>11</v>
      </c>
      <c r="O1997"/>
      <c r="P1997" s="412"/>
      <c r="Q1997" s="391"/>
      <c r="R1997" s="393"/>
    </row>
    <row r="1998" spans="1:21" ht="30" customHeight="1" x14ac:dyDescent="0.25">
      <c r="A1998" s="61"/>
      <c r="B1998" s="402" t="s">
        <v>1580</v>
      </c>
      <c r="C1998" s="403"/>
      <c r="D1998" s="404"/>
      <c r="E1998" s="1111">
        <v>9928</v>
      </c>
      <c r="F1998" s="22" t="s">
        <v>3</v>
      </c>
      <c r="G1998" s="1112"/>
      <c r="H1998" s="758"/>
      <c r="I1998" s="20"/>
      <c r="J1998" s="20" t="s">
        <v>646</v>
      </c>
      <c r="K1998" s="594">
        <f>SUM(K1994:K1997)</f>
        <v>259811.00194346625</v>
      </c>
      <c r="L1998" s="20" t="s">
        <v>11</v>
      </c>
      <c r="M1998" s="1932"/>
      <c r="N1998" s="213"/>
      <c r="O1998"/>
      <c r="P1998" s="412"/>
      <c r="Q1998" s="391"/>
      <c r="R1998" s="393"/>
    </row>
    <row r="1999" spans="1:21" ht="30" customHeight="1" thickBot="1" x14ac:dyDescent="0.3">
      <c r="A1999" s="63"/>
      <c r="B1999" s="191" t="s">
        <v>1581</v>
      </c>
      <c r="C1999" s="191"/>
      <c r="D1999" s="191"/>
      <c r="E1999" s="1111"/>
      <c r="F1999" s="22"/>
      <c r="G1999" s="20"/>
      <c r="H1999" s="20"/>
      <c r="I1999" s="20"/>
      <c r="J1999" s="48" t="s">
        <v>358</v>
      </c>
      <c r="K1999" s="594">
        <f>+K1998</f>
        <v>259811.00194346625</v>
      </c>
      <c r="L1999" s="20" t="s">
        <v>11</v>
      </c>
      <c r="M1999" s="434"/>
      <c r="N1999" s="105"/>
      <c r="O1999"/>
      <c r="P1999" s="412"/>
      <c r="Q1999" s="391"/>
      <c r="R1999" s="393"/>
    </row>
    <row r="2000" spans="1:21" ht="30" customHeight="1" thickBot="1" x14ac:dyDescent="0.3">
      <c r="A2000" s="76"/>
      <c r="B2000" s="77"/>
      <c r="C2000" s="77"/>
      <c r="D2000" s="77"/>
      <c r="E2000" s="77"/>
      <c r="F2000" s="77"/>
      <c r="G2000" s="77"/>
      <c r="H2000" s="77"/>
      <c r="I2000" s="77"/>
      <c r="J2000" s="77"/>
      <c r="K2000" s="77"/>
      <c r="L2000" s="78"/>
      <c r="N2000" s="342"/>
      <c r="O2000" s="42"/>
      <c r="P2000" s="41"/>
      <c r="Q2000" s="41"/>
      <c r="R2000" s="41"/>
      <c r="S2000" s="41"/>
      <c r="T2000" s="41"/>
      <c r="U2000" s="43"/>
    </row>
    <row r="2001" spans="1:21" ht="30" customHeight="1" x14ac:dyDescent="0.25">
      <c r="A2001" s="30" t="s">
        <v>288</v>
      </c>
      <c r="B2001" s="208">
        <v>2271</v>
      </c>
      <c r="C2001" s="282" t="s">
        <v>1582</v>
      </c>
      <c r="D2001" s="283"/>
      <c r="E2001" s="177" t="s">
        <v>291</v>
      </c>
      <c r="F2001" s="178" t="s">
        <v>9</v>
      </c>
      <c r="G2001" s="123" t="s">
        <v>375</v>
      </c>
      <c r="H2001" s="539">
        <v>55280</v>
      </c>
      <c r="I2001" s="177" t="s">
        <v>292</v>
      </c>
      <c r="J2001" s="38" t="s">
        <v>883</v>
      </c>
      <c r="K2001" s="38"/>
      <c r="L2001" s="389"/>
      <c r="U2001" s="43"/>
    </row>
    <row r="2002" spans="1:21" s="41" customFormat="1" ht="30" customHeight="1" x14ac:dyDescent="0.25">
      <c r="A2002" s="48" t="s">
        <v>529</v>
      </c>
      <c r="B2002" s="394" t="s">
        <v>560</v>
      </c>
      <c r="C2002" s="395"/>
      <c r="D2002" s="396"/>
      <c r="E2002" s="397" t="s">
        <v>519</v>
      </c>
      <c r="F2002" s="397" t="s">
        <v>561</v>
      </c>
      <c r="G2002" s="398" t="s">
        <v>562</v>
      </c>
      <c r="H2002" s="399"/>
      <c r="I2002" s="181" t="s">
        <v>530</v>
      </c>
      <c r="J2002" s="181"/>
      <c r="K2002" s="288" t="s">
        <v>521</v>
      </c>
      <c r="L2002" s="289"/>
      <c r="M2002" s="341"/>
      <c r="N2002" s="25"/>
      <c r="O2002" s="27"/>
      <c r="P2002"/>
      <c r="Q2002"/>
      <c r="R2002"/>
      <c r="S2002"/>
      <c r="T2002"/>
    </row>
    <row r="2003" spans="1:21" s="49" customFormat="1" ht="45" customHeight="1" x14ac:dyDescent="0.25">
      <c r="A2003" s="61" t="s">
        <v>1309</v>
      </c>
      <c r="B2003" s="402" t="s">
        <v>1583</v>
      </c>
      <c r="C2003" s="403"/>
      <c r="D2003" s="404"/>
      <c r="E2003" s="405">
        <v>73.95</v>
      </c>
      <c r="F2003" s="20" t="s">
        <v>9</v>
      </c>
      <c r="G2003" s="522"/>
      <c r="H2003" s="20"/>
      <c r="I2003" s="20">
        <v>1.06</v>
      </c>
      <c r="J2003" s="751"/>
      <c r="K2003" s="405">
        <f>+E2003*I2003</f>
        <v>78.387</v>
      </c>
      <c r="L2003" s="20" t="s">
        <v>9</v>
      </c>
      <c r="M2003" s="502"/>
      <c r="N2003" s="502"/>
      <c r="O2003" s="27"/>
      <c r="P2003" s="50"/>
      <c r="Q2003" s="50"/>
      <c r="R2003" s="50"/>
      <c r="S2003" s="212"/>
      <c r="T2003" s="212"/>
    </row>
    <row r="2004" spans="1:21" ht="30" customHeight="1" x14ac:dyDescent="0.25">
      <c r="A2004" s="61" t="s">
        <v>644</v>
      </c>
      <c r="B2004" s="503" t="s">
        <v>1584</v>
      </c>
      <c r="C2004" s="504"/>
      <c r="D2004" s="504"/>
      <c r="E2004" s="405">
        <v>2.93</v>
      </c>
      <c r="F2004" s="730" t="s">
        <v>9</v>
      </c>
      <c r="G2004" s="838"/>
      <c r="H2004" s="754"/>
      <c r="I2004" s="20">
        <v>1.06</v>
      </c>
      <c r="J2004" s="751"/>
      <c r="K2004" s="405">
        <f>+E2004*I2004</f>
        <v>3.1058000000000003</v>
      </c>
      <c r="L2004" s="20" t="s">
        <v>9</v>
      </c>
      <c r="M2004" s="43"/>
      <c r="P2004" s="43"/>
      <c r="Q2004" s="43"/>
      <c r="R2004" s="43"/>
      <c r="S2004" s="60"/>
      <c r="T2004" s="60"/>
    </row>
    <row r="2005" spans="1:21" ht="30" customHeight="1" x14ac:dyDescent="0.25">
      <c r="A2005" s="61"/>
      <c r="B2005" s="191"/>
      <c r="C2005" s="191"/>
      <c r="D2005" s="191"/>
      <c r="E2005" s="405"/>
      <c r="F2005" s="20"/>
      <c r="G2005" s="838"/>
      <c r="H2005" s="754"/>
      <c r="I2005" s="20"/>
      <c r="J2005" s="20" t="s">
        <v>578</v>
      </c>
      <c r="K2005" s="405">
        <f>SUM(K2003:K2004)</f>
        <v>81.492800000000003</v>
      </c>
      <c r="L2005" s="20" t="s">
        <v>9</v>
      </c>
      <c r="M2005" s="419"/>
      <c r="P2005" s="412"/>
      <c r="Q2005" s="391"/>
      <c r="R2005" s="393"/>
    </row>
    <row r="2006" spans="1:21" ht="30" customHeight="1" x14ac:dyDescent="0.25">
      <c r="A2006" s="61"/>
      <c r="B2006" s="410"/>
      <c r="C2006" s="410"/>
      <c r="D2006" s="410"/>
      <c r="E2006" s="405"/>
      <c r="F2006" s="338" t="s">
        <v>533</v>
      </c>
      <c r="G2006" s="339" t="s">
        <v>534</v>
      </c>
      <c r="H2006" s="339"/>
      <c r="I2006" s="339"/>
      <c r="J2006" s="339"/>
      <c r="K2006" s="340">
        <v>1.0900000000000001</v>
      </c>
      <c r="L2006" s="10"/>
      <c r="M2006" s="419"/>
      <c r="N2006" s="1917"/>
      <c r="O2006" s="1113"/>
      <c r="P2006" s="412"/>
      <c r="Q2006" s="391"/>
      <c r="R2006" s="393"/>
    </row>
    <row r="2007" spans="1:21" ht="30" customHeight="1" x14ac:dyDescent="0.25">
      <c r="A2007" s="61"/>
      <c r="B2007" s="410"/>
      <c r="C2007" s="410"/>
      <c r="D2007" s="410"/>
      <c r="E2007" s="405"/>
      <c r="F2007" s="343"/>
      <c r="G2007" s="344" t="s">
        <v>535</v>
      </c>
      <c r="H2007" s="344"/>
      <c r="I2007" s="344"/>
      <c r="J2007" s="344"/>
      <c r="K2007" s="340">
        <v>1.02</v>
      </c>
      <c r="L2007" s="10"/>
      <c r="M2007" s="419"/>
      <c r="N2007" s="1917"/>
      <c r="O2007" s="1113"/>
      <c r="P2007" s="412"/>
      <c r="Q2007" s="391"/>
      <c r="R2007" s="393"/>
    </row>
    <row r="2008" spans="1:21" s="49" customFormat="1" ht="30" customHeight="1" x14ac:dyDescent="0.25">
      <c r="A2008" s="61"/>
      <c r="B2008" s="20"/>
      <c r="C2008" s="18"/>
      <c r="D2008" s="18"/>
      <c r="E2008" s="18"/>
      <c r="F2008" s="18"/>
      <c r="G2008" s="18"/>
      <c r="H2008" s="18"/>
      <c r="I2008" s="18"/>
      <c r="J2008" s="18" t="s">
        <v>358</v>
      </c>
      <c r="K2008" s="23">
        <f>+K2005*K2006/K2007</f>
        <v>87.085443137254913</v>
      </c>
      <c r="L2008" s="20" t="s">
        <v>9</v>
      </c>
      <c r="M2008" s="425"/>
      <c r="N2008" s="1917"/>
      <c r="O2008" s="1113"/>
      <c r="P2008" s="412"/>
      <c r="Q2008" s="391"/>
      <c r="R2008" s="393"/>
    </row>
    <row r="2009" spans="1:21" ht="30" customHeight="1" thickBot="1" x14ac:dyDescent="0.3">
      <c r="A2009" s="61"/>
      <c r="B2009" s="61"/>
      <c r="C2009" s="63"/>
      <c r="D2009" s="63"/>
      <c r="E2009" s="63"/>
      <c r="F2009" s="63"/>
      <c r="G2009" s="445" t="s">
        <v>537</v>
      </c>
      <c r="H2009" s="63"/>
      <c r="I2009" s="63"/>
      <c r="J2009" s="447">
        <f>VLOOKUP(B2001,'Mil Cost Premiums for RUCs'!$A$4:$R$265,18,FALSE)</f>
        <v>1.1932356231980656</v>
      </c>
      <c r="K2009" s="21">
        <f>+K2008*J2009</f>
        <v>103.91345301336207</v>
      </c>
      <c r="L2009" s="61" t="s">
        <v>9</v>
      </c>
      <c r="M2009" s="419"/>
      <c r="N2009" s="1114"/>
      <c r="O2009" s="1114"/>
      <c r="P2009" s="412"/>
      <c r="Q2009" s="391"/>
      <c r="R2009" s="393"/>
    </row>
    <row r="2010" spans="1:21" ht="30" customHeight="1" thickBot="1" x14ac:dyDescent="0.3">
      <c r="A2010" s="76"/>
      <c r="B2010" s="77"/>
      <c r="C2010" s="77"/>
      <c r="D2010" s="77"/>
      <c r="E2010" s="77"/>
      <c r="F2010" s="77"/>
      <c r="G2010" s="77"/>
      <c r="H2010" s="77"/>
      <c r="I2010" s="77"/>
      <c r="J2010" s="77"/>
      <c r="K2010" s="77"/>
      <c r="L2010" s="78"/>
      <c r="M2010" s="419"/>
      <c r="N2010" s="1114"/>
      <c r="O2010" s="1114"/>
      <c r="P2010" s="412"/>
      <c r="Q2010" s="391"/>
      <c r="R2010" s="393"/>
    </row>
    <row r="2011" spans="1:21" ht="30" customHeight="1" x14ac:dyDescent="0.25">
      <c r="A2011" s="30" t="s">
        <v>288</v>
      </c>
      <c r="B2011" s="208">
        <v>2281</v>
      </c>
      <c r="C2011" s="209" t="s">
        <v>1585</v>
      </c>
      <c r="D2011" s="210"/>
      <c r="E2011" s="177" t="s">
        <v>291</v>
      </c>
      <c r="F2011" s="178" t="s">
        <v>9</v>
      </c>
      <c r="G2011" s="123" t="s">
        <v>375</v>
      </c>
      <c r="H2011" s="539">
        <v>10595</v>
      </c>
      <c r="I2011" s="177" t="s">
        <v>292</v>
      </c>
      <c r="J2011" s="38" t="s">
        <v>883</v>
      </c>
      <c r="K2011" s="38"/>
      <c r="L2011" s="389"/>
      <c r="M2011" s="419"/>
      <c r="N2011" s="420"/>
      <c r="O2011"/>
      <c r="P2011" s="412"/>
      <c r="Q2011" s="391"/>
      <c r="R2011" s="393"/>
    </row>
    <row r="2012" spans="1:21" ht="30" customHeight="1" x14ac:dyDescent="0.25">
      <c r="A2012" s="48" t="s">
        <v>529</v>
      </c>
      <c r="B2012" s="394" t="s">
        <v>560</v>
      </c>
      <c r="C2012" s="395"/>
      <c r="D2012" s="396"/>
      <c r="E2012" s="397" t="s">
        <v>519</v>
      </c>
      <c r="F2012" s="397" t="s">
        <v>561</v>
      </c>
      <c r="G2012" s="398" t="s">
        <v>562</v>
      </c>
      <c r="H2012" s="399"/>
      <c r="I2012" s="181" t="s">
        <v>530</v>
      </c>
      <c r="J2012" s="181"/>
      <c r="K2012" s="288" t="s">
        <v>521</v>
      </c>
      <c r="L2012" s="289"/>
      <c r="M2012" s="419"/>
      <c r="N2012" s="420"/>
      <c r="O2012"/>
      <c r="P2012" s="412"/>
      <c r="Q2012" s="391"/>
      <c r="R2012" s="393"/>
    </row>
    <row r="2013" spans="1:21" s="128" customFormat="1" ht="45" customHeight="1" x14ac:dyDescent="0.25">
      <c r="A2013" s="61" t="s">
        <v>1309</v>
      </c>
      <c r="B2013" s="402" t="s">
        <v>1586</v>
      </c>
      <c r="C2013" s="403"/>
      <c r="D2013" s="404"/>
      <c r="E2013" s="405">
        <f>73.95-2.19</f>
        <v>71.760000000000005</v>
      </c>
      <c r="F2013" s="20" t="s">
        <v>9</v>
      </c>
      <c r="G2013" s="522"/>
      <c r="H2013" s="20"/>
      <c r="I2013" s="20">
        <v>1.06</v>
      </c>
      <c r="J2013" s="751"/>
      <c r="K2013" s="405">
        <f>+E2013*I2013</f>
        <v>76.065600000000003</v>
      </c>
      <c r="L2013" s="20" t="s">
        <v>9</v>
      </c>
      <c r="M2013" s="419"/>
      <c r="N2013" s="1603"/>
      <c r="P2013" s="713"/>
      <c r="Q2013" s="712"/>
      <c r="R2013" s="714"/>
    </row>
    <row r="2014" spans="1:21" ht="30" customHeight="1" x14ac:dyDescent="0.25">
      <c r="A2014" s="61" t="s">
        <v>760</v>
      </c>
      <c r="B2014" s="402" t="s">
        <v>1587</v>
      </c>
      <c r="C2014" s="403"/>
      <c r="D2014" s="404"/>
      <c r="E2014" s="23">
        <v>166000</v>
      </c>
      <c r="F2014" s="20" t="s">
        <v>11</v>
      </c>
      <c r="G2014" s="1093">
        <f>+H2011</f>
        <v>10595</v>
      </c>
      <c r="H2014" s="754" t="s">
        <v>1468</v>
      </c>
      <c r="I2014" s="20">
        <v>1.02</v>
      </c>
      <c r="J2014" s="751"/>
      <c r="K2014" s="405">
        <f>+E2014/G2014*I2014</f>
        <v>15.981123171307219</v>
      </c>
      <c r="L2014" s="20" t="s">
        <v>9</v>
      </c>
      <c r="M2014" s="419"/>
      <c r="N2014" s="420"/>
      <c r="O2014"/>
      <c r="P2014" s="412"/>
      <c r="Q2014" s="391"/>
      <c r="R2014" s="393"/>
    </row>
    <row r="2015" spans="1:21" ht="30" customHeight="1" x14ac:dyDescent="0.25">
      <c r="A2015" s="24" t="s">
        <v>760</v>
      </c>
      <c r="B2015" s="346" t="s">
        <v>1588</v>
      </c>
      <c r="C2015" s="347"/>
      <c r="D2015" s="348"/>
      <c r="E2015" s="326">
        <f>+(228+250)/2</f>
        <v>239</v>
      </c>
      <c r="F2015" s="844" t="s">
        <v>7</v>
      </c>
      <c r="G2015" s="1115">
        <v>288</v>
      </c>
      <c r="H2015" s="922" t="s">
        <v>1353</v>
      </c>
      <c r="I2015" s="1116">
        <v>1.02</v>
      </c>
      <c r="J2015" s="10"/>
      <c r="K2015" s="405">
        <f>+E2015/G2015*I2015</f>
        <v>0.84645833333333342</v>
      </c>
      <c r="L2015" s="6" t="s">
        <v>9</v>
      </c>
      <c r="M2015" s="419"/>
      <c r="N2015" s="420"/>
      <c r="O2015"/>
      <c r="P2015" s="412"/>
      <c r="Q2015" s="391"/>
      <c r="R2015" s="393"/>
    </row>
    <row r="2016" spans="1:21" ht="30" customHeight="1" x14ac:dyDescent="0.25">
      <c r="A2016" s="61" t="s">
        <v>760</v>
      </c>
      <c r="B2016" s="402" t="s">
        <v>1557</v>
      </c>
      <c r="C2016" s="347"/>
      <c r="D2016" s="348"/>
      <c r="E2016" s="405">
        <f>(22.2+44.75)/2</f>
        <v>33.475000000000001</v>
      </c>
      <c r="F2016" s="730"/>
      <c r="G2016" s="838"/>
      <c r="H2016" s="754"/>
      <c r="I2016" s="20">
        <v>1.02</v>
      </c>
      <c r="J2016" s="751"/>
      <c r="K2016" s="405">
        <f>+E2016*I2016</f>
        <v>34.144500000000001</v>
      </c>
      <c r="L2016" s="20"/>
      <c r="M2016" s="419"/>
      <c r="N2016" s="420"/>
      <c r="O2016"/>
      <c r="P2016" s="412"/>
      <c r="Q2016" s="391"/>
      <c r="R2016" s="393"/>
    </row>
    <row r="2017" spans="1:18" s="49" customFormat="1" ht="30" customHeight="1" x14ac:dyDescent="0.25">
      <c r="A2017" s="61" t="s">
        <v>644</v>
      </c>
      <c r="B2017" s="503" t="s">
        <v>1589</v>
      </c>
      <c r="C2017" s="504"/>
      <c r="D2017" s="504"/>
      <c r="E2017" s="405">
        <v>4.01</v>
      </c>
      <c r="F2017" s="730" t="s">
        <v>9</v>
      </c>
      <c r="G2017" s="838"/>
      <c r="H2017" s="754"/>
      <c r="I2017" s="20">
        <v>1.06</v>
      </c>
      <c r="J2017" s="751"/>
      <c r="K2017" s="405">
        <f>+E2017*I2017</f>
        <v>4.2506000000000004</v>
      </c>
      <c r="L2017" s="20" t="s">
        <v>9</v>
      </c>
      <c r="M2017" s="425"/>
      <c r="N2017" s="420"/>
      <c r="P2017" s="412"/>
      <c r="Q2017" s="391"/>
      <c r="R2017" s="393"/>
    </row>
    <row r="2018" spans="1:18" ht="30" customHeight="1" x14ac:dyDescent="0.25">
      <c r="A2018" s="61"/>
      <c r="B2018" s="191"/>
      <c r="C2018" s="191"/>
      <c r="D2018" s="191"/>
      <c r="E2018" s="405"/>
      <c r="F2018" s="20"/>
      <c r="G2018" s="838"/>
      <c r="H2018" s="754"/>
      <c r="I2018" s="20"/>
      <c r="J2018" s="20" t="s">
        <v>578</v>
      </c>
      <c r="K2018" s="405">
        <f>SUM(K2013:K2017)</f>
        <v>131.28828150464054</v>
      </c>
      <c r="L2018" s="20" t="s">
        <v>9</v>
      </c>
      <c r="M2018" s="419"/>
      <c r="N2018" s="420"/>
      <c r="O2018"/>
      <c r="P2018" s="412"/>
      <c r="Q2018" s="391"/>
      <c r="R2018" s="393"/>
    </row>
    <row r="2019" spans="1:18" ht="30" customHeight="1" x14ac:dyDescent="0.25">
      <c r="A2019" s="61"/>
      <c r="B2019" s="410"/>
      <c r="C2019" s="410"/>
      <c r="D2019" s="410"/>
      <c r="E2019" s="405"/>
      <c r="F2019" s="338" t="s">
        <v>533</v>
      </c>
      <c r="G2019" s="339" t="s">
        <v>534</v>
      </c>
      <c r="H2019" s="339"/>
      <c r="I2019" s="339"/>
      <c r="J2019" s="339"/>
      <c r="K2019" s="340">
        <v>1.0900000000000001</v>
      </c>
      <c r="L2019" s="10"/>
      <c r="M2019" s="419"/>
      <c r="N2019" s="420"/>
      <c r="O2019"/>
      <c r="P2019" s="412"/>
      <c r="Q2019" s="391"/>
      <c r="R2019" s="393"/>
    </row>
    <row r="2020" spans="1:18" ht="30" customHeight="1" x14ac:dyDescent="0.25">
      <c r="A2020" s="61"/>
      <c r="B2020" s="410"/>
      <c r="C2020" s="410"/>
      <c r="D2020" s="410"/>
      <c r="E2020" s="405"/>
      <c r="F2020" s="343"/>
      <c r="G2020" s="344" t="s">
        <v>535</v>
      </c>
      <c r="H2020" s="344"/>
      <c r="I2020" s="344"/>
      <c r="J2020" s="344"/>
      <c r="K2020" s="340">
        <v>1.02</v>
      </c>
      <c r="L2020" s="10"/>
      <c r="M2020" s="419"/>
      <c r="N2020" s="420"/>
      <c r="O2020"/>
      <c r="P2020" s="412"/>
      <c r="Q2020" s="391"/>
      <c r="R2020" s="393"/>
    </row>
    <row r="2021" spans="1:18" ht="30" customHeight="1" x14ac:dyDescent="0.25">
      <c r="A2021" s="61"/>
      <c r="B2021" s="20"/>
      <c r="C2021" s="18"/>
      <c r="D2021" s="18"/>
      <c r="E2021" s="18"/>
      <c r="F2021" s="18"/>
      <c r="G2021" s="18"/>
      <c r="H2021" s="18"/>
      <c r="I2021" s="18"/>
      <c r="J2021" s="18" t="s">
        <v>358</v>
      </c>
      <c r="K2021" s="23">
        <f>+K2018*K2019/K2020</f>
        <v>140.2982616079002</v>
      </c>
      <c r="L2021" s="20" t="s">
        <v>9</v>
      </c>
      <c r="M2021" s="1117"/>
      <c r="N2021" s="671"/>
      <c r="O2021" s="43"/>
      <c r="P2021" s="672"/>
      <c r="Q2021" s="671"/>
      <c r="R2021" s="673"/>
    </row>
    <row r="2022" spans="1:18" ht="30" customHeight="1" thickBot="1" x14ac:dyDescent="0.3">
      <c r="A2022" s="61"/>
      <c r="B2022" s="20"/>
      <c r="C2022" s="18"/>
      <c r="D2022" s="18"/>
      <c r="E2022" s="18"/>
      <c r="F2022" s="18"/>
      <c r="G2022" s="413" t="s">
        <v>537</v>
      </c>
      <c r="H2022" s="18"/>
      <c r="I2022" s="18"/>
      <c r="J2022" s="361">
        <f>VLOOKUP(B2011,'Mil Cost Premiums for RUCs'!$A$4:$R$265,18,FALSE)</f>
        <v>1.1932356231980656</v>
      </c>
      <c r="K2022" s="23">
        <f>+K2021*J2022</f>
        <v>167.40888362330804</v>
      </c>
      <c r="L2022" s="20" t="s">
        <v>9</v>
      </c>
      <c r="M2022" s="670"/>
      <c r="N2022" s="671"/>
      <c r="O2022" s="43"/>
      <c r="P2022" s="672"/>
      <c r="Q2022" s="671"/>
      <c r="R2022" s="673"/>
    </row>
    <row r="2023" spans="1:18" ht="30" customHeight="1" thickBot="1" x14ac:dyDescent="0.3">
      <c r="A2023" s="76"/>
      <c r="B2023" s="77"/>
      <c r="C2023" s="77"/>
      <c r="D2023" s="77"/>
      <c r="E2023" s="77"/>
      <c r="F2023" s="77"/>
      <c r="G2023" s="77"/>
      <c r="H2023" s="77"/>
      <c r="I2023" s="77"/>
      <c r="J2023" s="77"/>
      <c r="K2023" s="77"/>
      <c r="L2023" s="78"/>
      <c r="M2023" s="419"/>
      <c r="N2023" s="420"/>
      <c r="O2023"/>
      <c r="P2023" s="412"/>
      <c r="Q2023" s="391"/>
      <c r="R2023" s="393"/>
    </row>
    <row r="2024" spans="1:18" ht="30" customHeight="1" x14ac:dyDescent="0.25">
      <c r="A2024" s="30" t="s">
        <v>288</v>
      </c>
      <c r="B2024" s="31">
        <v>2291</v>
      </c>
      <c r="C2024" s="161" t="s">
        <v>1590</v>
      </c>
      <c r="D2024" s="162"/>
      <c r="E2024" s="36" t="s">
        <v>291</v>
      </c>
      <c r="F2024" s="37" t="s">
        <v>11</v>
      </c>
      <c r="G2024" s="163" t="s">
        <v>290</v>
      </c>
      <c r="H2024" s="487">
        <v>1</v>
      </c>
      <c r="I2024" s="36" t="s">
        <v>292</v>
      </c>
      <c r="J2024" s="314" t="s">
        <v>883</v>
      </c>
      <c r="K2024" s="314"/>
      <c r="L2024" s="315"/>
      <c r="M2024" s="419"/>
      <c r="N2024" s="420"/>
      <c r="O2024"/>
      <c r="P2024" s="412"/>
      <c r="Q2024" s="391"/>
      <c r="R2024" s="393"/>
    </row>
    <row r="2025" spans="1:18" ht="30" customHeight="1" x14ac:dyDescent="0.25">
      <c r="A2025" s="48" t="s">
        <v>529</v>
      </c>
      <c r="B2025" s="490" t="s">
        <v>560</v>
      </c>
      <c r="C2025" s="491"/>
      <c r="D2025" s="492"/>
      <c r="E2025" s="793" t="s">
        <v>519</v>
      </c>
      <c r="F2025" s="793" t="s">
        <v>561</v>
      </c>
      <c r="G2025" s="398" t="s">
        <v>562</v>
      </c>
      <c r="H2025" s="399"/>
      <c r="I2025" s="181" t="s">
        <v>530</v>
      </c>
      <c r="J2025" s="181"/>
      <c r="K2025" s="288" t="s">
        <v>521</v>
      </c>
      <c r="L2025" s="289"/>
      <c r="M2025" s="419"/>
      <c r="N2025" s="420"/>
      <c r="O2025"/>
      <c r="P2025" s="412"/>
      <c r="Q2025" s="391"/>
      <c r="R2025" s="393"/>
    </row>
    <row r="2026" spans="1:18" ht="30" customHeight="1" x14ac:dyDescent="0.25">
      <c r="A2026" s="61" t="s">
        <v>1591</v>
      </c>
      <c r="B2026" s="236" t="s">
        <v>1592</v>
      </c>
      <c r="C2026" s="237"/>
      <c r="D2026" s="238"/>
      <c r="E2026" s="530">
        <f>+(7200+10800)/2</f>
        <v>9000</v>
      </c>
      <c r="F2026" s="61" t="s">
        <v>1593</v>
      </c>
      <c r="G2026" s="522">
        <v>180</v>
      </c>
      <c r="H2026" s="606" t="s">
        <v>1594</v>
      </c>
      <c r="I2026" s="20">
        <v>1.03</v>
      </c>
      <c r="J2026" s="20"/>
      <c r="K2026" s="405">
        <f>+E2026*I2026*G2026</f>
        <v>1668600</v>
      </c>
      <c r="L2026" s="20" t="s">
        <v>11</v>
      </c>
      <c r="M2026" s="419"/>
      <c r="N2026" s="420"/>
      <c r="O2026"/>
      <c r="P2026" s="412"/>
      <c r="Q2026" s="391"/>
      <c r="R2026" s="393"/>
    </row>
    <row r="2027" spans="1:18" s="49" customFormat="1" ht="30" customHeight="1" x14ac:dyDescent="0.25">
      <c r="A2027" s="61"/>
      <c r="B2027" s="192"/>
      <c r="C2027" s="192"/>
      <c r="D2027" s="192"/>
      <c r="E2027" s="530"/>
      <c r="F2027" s="61"/>
      <c r="G2027" s="838"/>
      <c r="H2027" s="754"/>
      <c r="I2027" s="20"/>
      <c r="J2027" s="20" t="s">
        <v>578</v>
      </c>
      <c r="K2027" s="405">
        <f>SUM(K2026:K2026)</f>
        <v>1668600</v>
      </c>
      <c r="L2027" s="20" t="s">
        <v>11</v>
      </c>
      <c r="M2027" s="425"/>
      <c r="N2027" s="420"/>
      <c r="P2027" s="412"/>
      <c r="Q2027" s="391"/>
      <c r="R2027" s="393"/>
    </row>
    <row r="2028" spans="1:18" ht="30" customHeight="1" x14ac:dyDescent="0.25">
      <c r="A2028" s="61"/>
      <c r="B2028" s="498"/>
      <c r="C2028" s="498"/>
      <c r="D2028" s="498"/>
      <c r="E2028" s="530"/>
      <c r="F2028" s="676" t="s">
        <v>533</v>
      </c>
      <c r="G2028" s="339" t="s">
        <v>534</v>
      </c>
      <c r="H2028" s="339"/>
      <c r="I2028" s="339"/>
      <c r="J2028" s="339"/>
      <c r="K2028" s="20">
        <v>1.07</v>
      </c>
      <c r="L2028" s="10"/>
      <c r="M2028" s="419"/>
      <c r="N2028" s="420"/>
      <c r="O2028"/>
      <c r="P2028" s="412"/>
      <c r="Q2028" s="391"/>
      <c r="R2028" s="393"/>
    </row>
    <row r="2029" spans="1:18" ht="30" customHeight="1" x14ac:dyDescent="0.25">
      <c r="A2029" s="61"/>
      <c r="B2029" s="498"/>
      <c r="C2029" s="498"/>
      <c r="D2029" s="498"/>
      <c r="E2029" s="530"/>
      <c r="F2029" s="678"/>
      <c r="G2029" s="344" t="s">
        <v>535</v>
      </c>
      <c r="H2029" s="344"/>
      <c r="I2029" s="344"/>
      <c r="J2029" s="344"/>
      <c r="K2029" s="340">
        <v>1.02</v>
      </c>
      <c r="L2029" s="10"/>
      <c r="M2029" s="419"/>
      <c r="N2029" s="420"/>
      <c r="O2029"/>
      <c r="P2029" s="412"/>
      <c r="Q2029" s="391"/>
      <c r="R2029" s="393"/>
    </row>
    <row r="2030" spans="1:18" ht="30" customHeight="1" x14ac:dyDescent="0.25">
      <c r="A2030" s="61"/>
      <c r="B2030" s="61"/>
      <c r="C2030" s="63"/>
      <c r="D2030" s="63"/>
      <c r="E2030" s="63"/>
      <c r="F2030" s="63"/>
      <c r="G2030" s="18"/>
      <c r="H2030" s="18"/>
      <c r="I2030" s="18"/>
      <c r="J2030" s="18" t="s">
        <v>358</v>
      </c>
      <c r="K2030" s="23">
        <f>+K2027*K2028/K2029</f>
        <v>1750394.1176470588</v>
      </c>
      <c r="L2030" s="20" t="s">
        <v>11</v>
      </c>
      <c r="M2030" s="1907"/>
      <c r="O2030" s="412"/>
      <c r="P2030" s="391"/>
      <c r="Q2030" s="393"/>
    </row>
    <row r="2031" spans="1:18" ht="30" customHeight="1" thickBot="1" x14ac:dyDescent="0.3">
      <c r="A2031" s="61"/>
      <c r="B2031" s="61"/>
      <c r="C2031" s="63"/>
      <c r="D2031" s="63"/>
      <c r="E2031" s="63"/>
      <c r="F2031" s="63"/>
      <c r="G2031" s="445" t="s">
        <v>537</v>
      </c>
      <c r="H2031" s="63"/>
      <c r="I2031" s="63"/>
      <c r="J2031" s="447">
        <f>VLOOKUP(B2024,'Mil Cost Premiums for RUCs'!$A$4:$R$265,18,FALSE)</f>
        <v>1.1233553701921195</v>
      </c>
      <c r="K2031" s="21">
        <f>+K2030*J2031</f>
        <v>1966314.6320115202</v>
      </c>
      <c r="L2031" s="61" t="s">
        <v>11</v>
      </c>
      <c r="M2031" s="419"/>
      <c r="N2031" s="420"/>
      <c r="O2031"/>
      <c r="P2031" s="412"/>
      <c r="Q2031" s="391"/>
      <c r="R2031" s="393"/>
    </row>
    <row r="2032" spans="1:18" ht="30" customHeight="1" thickBot="1" x14ac:dyDescent="0.3">
      <c r="A2032" s="76"/>
      <c r="B2032" s="77"/>
      <c r="C2032" s="77"/>
      <c r="D2032" s="77"/>
      <c r="E2032" s="77"/>
      <c r="F2032" s="77"/>
      <c r="G2032" s="77"/>
      <c r="H2032" s="77"/>
      <c r="I2032" s="77"/>
      <c r="J2032" s="77"/>
      <c r="K2032" s="77"/>
      <c r="L2032" s="78"/>
      <c r="M2032" s="419"/>
      <c r="N2032" s="420"/>
      <c r="O2032"/>
      <c r="P2032" s="412"/>
      <c r="Q2032" s="391"/>
      <c r="R2032" s="393"/>
    </row>
    <row r="2033" spans="1:18" ht="30" customHeight="1" x14ac:dyDescent="0.25">
      <c r="A2033" s="207" t="s">
        <v>288</v>
      </c>
      <c r="B2033" s="208">
        <v>3101</v>
      </c>
      <c r="C2033" s="209" t="s">
        <v>1595</v>
      </c>
      <c r="D2033" s="210"/>
      <c r="E2033" s="177" t="s">
        <v>291</v>
      </c>
      <c r="F2033" s="178" t="s">
        <v>9</v>
      </c>
      <c r="G2033" s="123" t="s">
        <v>375</v>
      </c>
      <c r="H2033" s="539">
        <v>16418</v>
      </c>
      <c r="I2033" s="177" t="s">
        <v>292</v>
      </c>
      <c r="J2033" s="38" t="s">
        <v>883</v>
      </c>
      <c r="K2033" s="38"/>
      <c r="L2033" s="389"/>
      <c r="M2033" s="419"/>
      <c r="N2033" s="420"/>
      <c r="O2033"/>
      <c r="P2033" s="412"/>
      <c r="Q2033" s="391"/>
      <c r="R2033" s="393"/>
    </row>
    <row r="2034" spans="1:18" ht="30" customHeight="1" x14ac:dyDescent="0.25">
      <c r="A2034" s="185" t="s">
        <v>529</v>
      </c>
      <c r="B2034" s="394" t="s">
        <v>560</v>
      </c>
      <c r="C2034" s="395"/>
      <c r="D2034" s="396"/>
      <c r="E2034" s="397" t="s">
        <v>519</v>
      </c>
      <c r="F2034" s="397" t="s">
        <v>561</v>
      </c>
      <c r="G2034" s="398" t="s">
        <v>562</v>
      </c>
      <c r="H2034" s="399"/>
      <c r="I2034" s="181" t="s">
        <v>530</v>
      </c>
      <c r="J2034" s="181"/>
      <c r="K2034" s="288" t="s">
        <v>521</v>
      </c>
      <c r="L2034" s="289"/>
      <c r="M2034" s="1330"/>
      <c r="N2034" s="671"/>
      <c r="O2034" s="43"/>
      <c r="P2034" s="672"/>
      <c r="Q2034" s="671"/>
      <c r="R2034" s="673"/>
    </row>
    <row r="2035" spans="1:18" ht="30" customHeight="1" x14ac:dyDescent="0.25">
      <c r="A2035" s="20" t="s">
        <v>649</v>
      </c>
      <c r="B2035" s="346" t="s">
        <v>1596</v>
      </c>
      <c r="C2035" s="347"/>
      <c r="D2035" s="348"/>
      <c r="E2035" s="405">
        <v>222.42</v>
      </c>
      <c r="F2035" s="20" t="s">
        <v>9</v>
      </c>
      <c r="G2035" s="522"/>
      <c r="H2035" s="20"/>
      <c r="I2035" s="20">
        <v>1.06</v>
      </c>
      <c r="J2035" s="751"/>
      <c r="K2035" s="405">
        <f>+E2035*I2035</f>
        <v>235.76519999999999</v>
      </c>
      <c r="L2035" s="20" t="s">
        <v>9</v>
      </c>
      <c r="M2035" s="1330"/>
      <c r="N2035" s="671"/>
      <c r="O2035" s="43"/>
      <c r="P2035" s="672"/>
      <c r="Q2035" s="671"/>
      <c r="R2035" s="673"/>
    </row>
    <row r="2036" spans="1:18" ht="30" customHeight="1" x14ac:dyDescent="0.25">
      <c r="A2036" s="20" t="s">
        <v>1311</v>
      </c>
      <c r="B2036" s="503" t="s">
        <v>1597</v>
      </c>
      <c r="C2036" s="504"/>
      <c r="D2036" s="505"/>
      <c r="E2036" s="405">
        <v>3.74</v>
      </c>
      <c r="F2036" s="730" t="s">
        <v>9</v>
      </c>
      <c r="G2036" s="838"/>
      <c r="H2036" s="754"/>
      <c r="I2036" s="20">
        <v>1.06</v>
      </c>
      <c r="J2036" s="751"/>
      <c r="K2036" s="405">
        <f>+E2036*I2036</f>
        <v>3.9644000000000004</v>
      </c>
      <c r="L2036" s="20" t="s">
        <v>9</v>
      </c>
      <c r="M2036" s="419"/>
      <c r="N2036" s="420"/>
      <c r="O2036"/>
      <c r="P2036" s="412"/>
      <c r="Q2036" s="391"/>
      <c r="R2036" s="393"/>
    </row>
    <row r="2037" spans="1:18" ht="30" customHeight="1" x14ac:dyDescent="0.25">
      <c r="A2037" s="20"/>
      <c r="B2037" s="20"/>
      <c r="C2037" s="402"/>
      <c r="D2037" s="403"/>
      <c r="E2037" s="404"/>
      <c r="F2037" s="405"/>
      <c r="G2037" s="20"/>
      <c r="H2037" s="838"/>
      <c r="I2037" s="20"/>
      <c r="J2037" s="20" t="s">
        <v>578</v>
      </c>
      <c r="K2037" s="405">
        <f>SUM(K2035:K2036)</f>
        <v>239.7296</v>
      </c>
      <c r="L2037" s="20" t="s">
        <v>9</v>
      </c>
      <c r="M2037" s="419"/>
      <c r="N2037" s="420"/>
      <c r="O2037"/>
      <c r="P2037" s="412"/>
      <c r="Q2037" s="391"/>
      <c r="R2037" s="393"/>
    </row>
    <row r="2038" spans="1:18" ht="30" customHeight="1" x14ac:dyDescent="0.25">
      <c r="A2038" s="61"/>
      <c r="B2038" s="410"/>
      <c r="C2038" s="410"/>
      <c r="D2038" s="410"/>
      <c r="E2038" s="405"/>
      <c r="F2038" s="338" t="s">
        <v>533</v>
      </c>
      <c r="G2038" s="339" t="s">
        <v>534</v>
      </c>
      <c r="H2038" s="339"/>
      <c r="I2038" s="339"/>
      <c r="J2038" s="339"/>
      <c r="K2038" s="751">
        <v>1.0900000000000001</v>
      </c>
      <c r="L2038" s="10"/>
      <c r="M2038" s="419"/>
      <c r="N2038" s="420"/>
      <c r="O2038"/>
      <c r="P2038" s="412"/>
      <c r="Q2038" s="391"/>
      <c r="R2038" s="393"/>
    </row>
    <row r="2039" spans="1:18" ht="30" customHeight="1" x14ac:dyDescent="0.25">
      <c r="A2039" s="61"/>
      <c r="B2039" s="410"/>
      <c r="C2039" s="410"/>
      <c r="D2039" s="410"/>
      <c r="E2039" s="405"/>
      <c r="F2039" s="343"/>
      <c r="G2039" s="344" t="s">
        <v>535</v>
      </c>
      <c r="H2039" s="344"/>
      <c r="I2039" s="344"/>
      <c r="J2039" s="344"/>
      <c r="K2039" s="340">
        <v>1.02</v>
      </c>
      <c r="L2039" s="10"/>
      <c r="M2039" s="419"/>
      <c r="N2039" s="420"/>
      <c r="O2039"/>
      <c r="P2039" s="412"/>
      <c r="Q2039" s="391"/>
      <c r="R2039" s="393"/>
    </row>
    <row r="2040" spans="1:18" s="49" customFormat="1" ht="30" customHeight="1" x14ac:dyDescent="0.25">
      <c r="A2040" s="20"/>
      <c r="B2040" s="20"/>
      <c r="C2040" s="20"/>
      <c r="D2040" s="18"/>
      <c r="E2040" s="18"/>
      <c r="F2040" s="18"/>
      <c r="G2040" s="18"/>
      <c r="H2040" s="18"/>
      <c r="I2040" s="18"/>
      <c r="J2040" s="20" t="s">
        <v>358</v>
      </c>
      <c r="K2040" s="23">
        <f>+K2037*K2038/K2039</f>
        <v>256.18163137254902</v>
      </c>
      <c r="L2040" s="20" t="s">
        <v>9</v>
      </c>
      <c r="M2040" s="425"/>
      <c r="N2040" s="420"/>
      <c r="P2040" s="412"/>
      <c r="Q2040" s="391"/>
      <c r="R2040" s="393"/>
    </row>
    <row r="2041" spans="1:18" ht="30" customHeight="1" x14ac:dyDescent="0.25">
      <c r="A2041" s="20"/>
      <c r="B2041" s="20"/>
      <c r="C2041" s="20"/>
      <c r="D2041" s="18"/>
      <c r="E2041" s="18"/>
      <c r="F2041" s="18"/>
      <c r="G2041" s="116" t="s">
        <v>652</v>
      </c>
      <c r="H2041" s="18"/>
      <c r="I2041" s="18"/>
      <c r="J2041" s="361">
        <f>VLOOKUP(B2033,'Mil Cost Premiums for RUCs'!$A$4:$R$265,18,FALSE)</f>
        <v>1.3319480854780448</v>
      </c>
      <c r="K2041" s="23">
        <f>+K2040*J2041</f>
        <v>341.22063344130891</v>
      </c>
      <c r="L2041" s="20" t="s">
        <v>9</v>
      </c>
      <c r="M2041" s="419"/>
      <c r="N2041" s="420"/>
      <c r="O2041"/>
      <c r="P2041" s="412"/>
      <c r="Q2041" s="391"/>
      <c r="R2041" s="393"/>
    </row>
    <row r="2042" spans="1:18" ht="75" customHeight="1" x14ac:dyDescent="0.25">
      <c r="A2042" s="580" t="s">
        <v>538</v>
      </c>
      <c r="B2042" s="532"/>
      <c r="C2042" s="532"/>
      <c r="D2042" s="532"/>
      <c r="E2042" s="532"/>
      <c r="F2042" s="532"/>
      <c r="G2042" s="532"/>
      <c r="H2042" s="532"/>
      <c r="I2042" s="532"/>
      <c r="J2042" s="532"/>
      <c r="K2042" s="532"/>
      <c r="L2042" s="533"/>
      <c r="M2042" s="419"/>
      <c r="N2042" s="420"/>
      <c r="O2042"/>
      <c r="P2042" s="412"/>
      <c r="Q2042" s="391"/>
      <c r="R2042" s="393"/>
    </row>
    <row r="2043" spans="1:18" ht="30" customHeight="1" x14ac:dyDescent="0.25">
      <c r="A2043" s="1044" t="s">
        <v>539</v>
      </c>
      <c r="B2043" s="1045"/>
      <c r="C2043" s="1046"/>
      <c r="D2043" s="386" t="s">
        <v>1598</v>
      </c>
      <c r="E2043" s="849"/>
      <c r="F2043" s="849"/>
      <c r="G2043" s="849"/>
      <c r="H2043" s="849"/>
      <c r="I2043" s="849"/>
      <c r="J2043" s="849"/>
      <c r="K2043" s="849"/>
      <c r="L2043" s="850"/>
      <c r="M2043" s="670"/>
      <c r="N2043" s="671"/>
      <c r="O2043" s="43"/>
      <c r="P2043" s="672"/>
      <c r="Q2043" s="671"/>
      <c r="R2043" s="673"/>
    </row>
    <row r="2044" spans="1:18" ht="30" customHeight="1" x14ac:dyDescent="0.25">
      <c r="A2044" s="1044" t="s">
        <v>541</v>
      </c>
      <c r="B2044" s="1045"/>
      <c r="C2044" s="1046"/>
      <c r="D2044" s="386" t="s">
        <v>1599</v>
      </c>
      <c r="E2044" s="849"/>
      <c r="F2044" s="849"/>
      <c r="G2044" s="849"/>
      <c r="H2044" s="849"/>
      <c r="I2044" s="849"/>
      <c r="J2044" s="849"/>
      <c r="K2044" s="849"/>
      <c r="L2044" s="850"/>
      <c r="M2044" s="670"/>
      <c r="N2044" s="671"/>
      <c r="O2044" s="43"/>
      <c r="P2044" s="672"/>
      <c r="Q2044" s="671"/>
      <c r="R2044" s="673"/>
    </row>
    <row r="2045" spans="1:18" ht="30" customHeight="1" x14ac:dyDescent="0.25">
      <c r="A2045" s="1044" t="s">
        <v>543</v>
      </c>
      <c r="B2045" s="1045"/>
      <c r="C2045" s="1046"/>
      <c r="D2045" s="386" t="s">
        <v>1600</v>
      </c>
      <c r="E2045" s="849"/>
      <c r="F2045" s="849"/>
      <c r="G2045" s="849"/>
      <c r="H2045" s="849"/>
      <c r="I2045" s="849"/>
      <c r="J2045" s="849"/>
      <c r="K2045" s="849"/>
      <c r="L2045" s="850"/>
      <c r="M2045" s="419"/>
      <c r="N2045" s="420"/>
      <c r="O2045"/>
      <c r="P2045" s="412"/>
      <c r="Q2045" s="391"/>
      <c r="R2045" s="393"/>
    </row>
    <row r="2046" spans="1:18" ht="30" customHeight="1" x14ac:dyDescent="0.25">
      <c r="A2046" s="1044" t="s">
        <v>546</v>
      </c>
      <c r="B2046" s="1045"/>
      <c r="C2046" s="1046"/>
      <c r="D2046" s="386" t="s">
        <v>1601</v>
      </c>
      <c r="E2046" s="849"/>
      <c r="F2046" s="849"/>
      <c r="G2046" s="849"/>
      <c r="H2046" s="849"/>
      <c r="I2046" s="849"/>
      <c r="J2046" s="849"/>
      <c r="K2046" s="849"/>
      <c r="L2046" s="850"/>
      <c r="M2046" s="420"/>
      <c r="O2046" s="412"/>
      <c r="P2046" s="391"/>
    </row>
    <row r="2047" spans="1:18" ht="30" customHeight="1" x14ac:dyDescent="0.25">
      <c r="A2047" s="1044" t="s">
        <v>548</v>
      </c>
      <c r="B2047" s="1045"/>
      <c r="C2047" s="1046"/>
      <c r="D2047" s="386" t="s">
        <v>1602</v>
      </c>
      <c r="E2047" s="849"/>
      <c r="F2047" s="849"/>
      <c r="G2047" s="849"/>
      <c r="H2047" s="849"/>
      <c r="I2047" s="849"/>
      <c r="J2047" s="849"/>
      <c r="K2047" s="849"/>
      <c r="L2047" s="850"/>
      <c r="M2047" s="420"/>
      <c r="O2047" s="412"/>
      <c r="P2047" s="391"/>
    </row>
    <row r="2048" spans="1:18" ht="30" customHeight="1" x14ac:dyDescent="0.25">
      <c r="A2048" s="1044" t="s">
        <v>550</v>
      </c>
      <c r="B2048" s="1045"/>
      <c r="C2048" s="1046"/>
      <c r="D2048" s="386" t="s">
        <v>551</v>
      </c>
      <c r="E2048" s="849"/>
      <c r="F2048" s="849"/>
      <c r="G2048" s="849"/>
      <c r="H2048" s="849"/>
      <c r="I2048" s="849"/>
      <c r="J2048" s="849"/>
      <c r="K2048" s="849"/>
      <c r="L2048" s="850"/>
      <c r="M2048" s="420"/>
      <c r="O2048" s="412"/>
      <c r="P2048" s="391"/>
    </row>
    <row r="2049" spans="1:18" s="49" customFormat="1" ht="30" customHeight="1" x14ac:dyDescent="0.25">
      <c r="A2049" s="1044" t="s">
        <v>552</v>
      </c>
      <c r="B2049" s="1045"/>
      <c r="C2049" s="1046"/>
      <c r="D2049" s="386" t="s">
        <v>1603</v>
      </c>
      <c r="E2049" s="849"/>
      <c r="F2049" s="849"/>
      <c r="G2049" s="849"/>
      <c r="H2049" s="849"/>
      <c r="I2049" s="849"/>
      <c r="J2049" s="849"/>
      <c r="K2049" s="849"/>
      <c r="L2049" s="850"/>
      <c r="M2049" s="420"/>
      <c r="N2049" s="502"/>
      <c r="O2049" s="412"/>
      <c r="P2049" s="391"/>
    </row>
    <row r="2050" spans="1:18" ht="75" customHeight="1" x14ac:dyDescent="0.25">
      <c r="A2050" s="1044" t="s">
        <v>553</v>
      </c>
      <c r="B2050" s="1045"/>
      <c r="C2050" s="1046"/>
      <c r="D2050" s="386" t="s">
        <v>660</v>
      </c>
      <c r="E2050" s="849"/>
      <c r="F2050" s="849"/>
      <c r="G2050" s="849"/>
      <c r="H2050" s="849"/>
      <c r="I2050" s="849"/>
      <c r="J2050" s="849"/>
      <c r="K2050" s="849"/>
      <c r="L2050" s="850"/>
      <c r="M2050" s="420"/>
      <c r="O2050" s="412"/>
      <c r="P2050" s="391"/>
    </row>
    <row r="2051" spans="1:18" ht="45" customHeight="1" thickBot="1" x14ac:dyDescent="0.3">
      <c r="A2051" s="1044" t="s">
        <v>556</v>
      </c>
      <c r="B2051" s="1045"/>
      <c r="C2051" s="1046"/>
      <c r="D2051" s="386" t="s">
        <v>1604</v>
      </c>
      <c r="E2051" s="849"/>
      <c r="F2051" s="849"/>
      <c r="G2051" s="849"/>
      <c r="H2051" s="849"/>
      <c r="I2051" s="849"/>
      <c r="J2051" s="849"/>
      <c r="K2051" s="849"/>
      <c r="L2051" s="850"/>
      <c r="M2051" s="1907"/>
      <c r="O2051" s="412"/>
      <c r="P2051" s="391"/>
      <c r="Q2051" s="393"/>
    </row>
    <row r="2052" spans="1:18" ht="30" customHeight="1" thickBot="1" x14ac:dyDescent="0.3">
      <c r="A2052" s="76"/>
      <c r="B2052" s="77"/>
      <c r="C2052" s="77"/>
      <c r="D2052" s="77"/>
      <c r="E2052" s="77"/>
      <c r="F2052" s="77"/>
      <c r="G2052" s="77"/>
      <c r="H2052" s="77"/>
      <c r="I2052" s="77"/>
      <c r="J2052" s="77"/>
      <c r="K2052" s="77"/>
      <c r="L2052" s="78"/>
      <c r="M2052" s="420"/>
      <c r="O2052" s="412"/>
      <c r="P2052" s="391"/>
    </row>
    <row r="2053" spans="1:18" ht="30" customHeight="1" x14ac:dyDescent="0.25">
      <c r="A2053" s="306" t="s">
        <v>288</v>
      </c>
      <c r="B2053" s="307">
        <v>3102</v>
      </c>
      <c r="C2053" s="1118" t="s">
        <v>1605</v>
      </c>
      <c r="D2053" s="1119"/>
      <c r="E2053" s="540" t="s">
        <v>291</v>
      </c>
      <c r="F2053" s="541" t="s">
        <v>9</v>
      </c>
      <c r="G2053" s="123" t="s">
        <v>375</v>
      </c>
      <c r="H2053" s="542">
        <v>31952</v>
      </c>
      <c r="I2053" s="540" t="s">
        <v>292</v>
      </c>
      <c r="J2053" s="38" t="s">
        <v>883</v>
      </c>
      <c r="K2053" s="38"/>
      <c r="L2053" s="389"/>
      <c r="M2053" s="420"/>
      <c r="O2053" s="412"/>
      <c r="P2053" s="391"/>
    </row>
    <row r="2054" spans="1:18" ht="30" customHeight="1" x14ac:dyDescent="0.25">
      <c r="A2054" s="695" t="s">
        <v>529</v>
      </c>
      <c r="B2054" s="883" t="s">
        <v>560</v>
      </c>
      <c r="C2054" s="884"/>
      <c r="D2054" s="885"/>
      <c r="E2054" s="546" t="s">
        <v>519</v>
      </c>
      <c r="F2054" s="546" t="s">
        <v>561</v>
      </c>
      <c r="G2054" s="547" t="s">
        <v>562</v>
      </c>
      <c r="H2054" s="548"/>
      <c r="I2054" s="424" t="s">
        <v>530</v>
      </c>
      <c r="J2054" s="424"/>
      <c r="K2054" s="288" t="s">
        <v>521</v>
      </c>
      <c r="L2054" s="289"/>
      <c r="M2054" s="670"/>
      <c r="N2054" s="671"/>
      <c r="O2054" s="43"/>
      <c r="P2054" s="672"/>
      <c r="Q2054" s="671"/>
      <c r="R2054" s="673"/>
    </row>
    <row r="2055" spans="1:18" ht="30" customHeight="1" x14ac:dyDescent="0.25">
      <c r="A2055" s="24" t="s">
        <v>649</v>
      </c>
      <c r="B2055" s="138" t="s">
        <v>1596</v>
      </c>
      <c r="C2055" s="139"/>
      <c r="D2055" s="140"/>
      <c r="E2055" s="326">
        <v>222.42</v>
      </c>
      <c r="F2055" s="10" t="s">
        <v>9</v>
      </c>
      <c r="G2055" s="1055"/>
      <c r="H2055" s="10"/>
      <c r="I2055" s="10">
        <v>1.06</v>
      </c>
      <c r="J2055" s="886"/>
      <c r="K2055" s="326">
        <f>+E2055*I2055</f>
        <v>235.76519999999999</v>
      </c>
      <c r="L2055" s="10" t="s">
        <v>9</v>
      </c>
      <c r="M2055" s="956"/>
      <c r="N2055" s="420"/>
      <c r="O2055"/>
      <c r="P2055" s="412"/>
      <c r="Q2055" s="391"/>
      <c r="R2055" s="393"/>
    </row>
    <row r="2056" spans="1:18" ht="30" customHeight="1" x14ac:dyDescent="0.25">
      <c r="A2056" s="24" t="s">
        <v>649</v>
      </c>
      <c r="B2056" s="129" t="s">
        <v>1606</v>
      </c>
      <c r="C2056" s="130"/>
      <c r="D2056" s="130"/>
      <c r="E2056" s="326">
        <v>34.4</v>
      </c>
      <c r="F2056" s="844" t="s">
        <v>9</v>
      </c>
      <c r="G2056" s="845"/>
      <c r="H2056" s="846"/>
      <c r="I2056" s="10">
        <v>1.06</v>
      </c>
      <c r="J2056" s="886"/>
      <c r="K2056" s="326">
        <f>+E2056*I2056</f>
        <v>36.463999999999999</v>
      </c>
      <c r="L2056" s="10" t="s">
        <v>9</v>
      </c>
      <c r="M2056" s="1356"/>
      <c r="N2056" s="420"/>
      <c r="O2056"/>
      <c r="P2056" s="412"/>
      <c r="Q2056" s="391"/>
      <c r="R2056" s="393"/>
    </row>
    <row r="2057" spans="1:18" ht="30" customHeight="1" x14ac:dyDescent="0.25">
      <c r="A2057" s="24" t="s">
        <v>649</v>
      </c>
      <c r="B2057" s="141" t="s">
        <v>1607</v>
      </c>
      <c r="C2057" s="142"/>
      <c r="D2057" s="142"/>
      <c r="E2057" s="326">
        <v>34.4</v>
      </c>
      <c r="F2057" s="844" t="s">
        <v>9</v>
      </c>
      <c r="G2057" s="845"/>
      <c r="H2057" s="846"/>
      <c r="I2057" s="10">
        <v>1.06</v>
      </c>
      <c r="J2057" s="886"/>
      <c r="K2057" s="326">
        <f>+E2057*I2057</f>
        <v>36.463999999999999</v>
      </c>
      <c r="L2057" s="10" t="s">
        <v>9</v>
      </c>
      <c r="M2057" s="1356"/>
      <c r="N2057" s="420"/>
      <c r="O2057"/>
      <c r="P2057" s="412"/>
      <c r="Q2057" s="391"/>
      <c r="R2057" s="393"/>
    </row>
    <row r="2058" spans="1:18" ht="30" customHeight="1" x14ac:dyDescent="0.25">
      <c r="A2058" s="24" t="s">
        <v>644</v>
      </c>
      <c r="B2058" s="129" t="s">
        <v>1608</v>
      </c>
      <c r="C2058" s="130"/>
      <c r="D2058" s="130"/>
      <c r="E2058" s="326">
        <v>3.31</v>
      </c>
      <c r="F2058" s="844" t="s">
        <v>9</v>
      </c>
      <c r="G2058" s="845"/>
      <c r="H2058" s="846"/>
      <c r="I2058" s="10">
        <v>1.06</v>
      </c>
      <c r="J2058" s="886"/>
      <c r="K2058" s="326">
        <f>+E2058*I2058</f>
        <v>3.5086000000000004</v>
      </c>
      <c r="L2058" s="10" t="s">
        <v>9</v>
      </c>
      <c r="M2058" s="1356"/>
      <c r="N2058" s="420"/>
      <c r="O2058"/>
      <c r="P2058" s="412"/>
      <c r="Q2058" s="391"/>
      <c r="R2058" s="393"/>
    </row>
    <row r="2059" spans="1:18" ht="30" customHeight="1" x14ac:dyDescent="0.25">
      <c r="A2059" s="24"/>
      <c r="B2059" s="574"/>
      <c r="C2059" s="574"/>
      <c r="D2059" s="574"/>
      <c r="E2059" s="326"/>
      <c r="F2059" s="10"/>
      <c r="G2059" s="845"/>
      <c r="H2059" s="846"/>
      <c r="I2059" s="10"/>
      <c r="J2059" s="10" t="s">
        <v>578</v>
      </c>
      <c r="K2059" s="326">
        <f>SUM(K2055:K2058)</f>
        <v>312.20179999999999</v>
      </c>
      <c r="L2059" s="10" t="s">
        <v>9</v>
      </c>
      <c r="M2059" s="1356"/>
      <c r="N2059" s="420"/>
      <c r="O2059"/>
      <c r="P2059" s="412"/>
      <c r="Q2059" s="391"/>
      <c r="R2059" s="393"/>
    </row>
    <row r="2060" spans="1:18" ht="30" customHeight="1" x14ac:dyDescent="0.25">
      <c r="A2060" s="61"/>
      <c r="B2060" s="498"/>
      <c r="C2060" s="498"/>
      <c r="D2060" s="498"/>
      <c r="E2060" s="405"/>
      <c r="F2060" s="338" t="s">
        <v>533</v>
      </c>
      <c r="G2060" s="339" t="s">
        <v>534</v>
      </c>
      <c r="H2060" s="339"/>
      <c r="I2060" s="339"/>
      <c r="J2060" s="339"/>
      <c r="K2060" s="751">
        <v>1.0900000000000001</v>
      </c>
      <c r="L2060" s="10"/>
      <c r="M2060" s="1356"/>
      <c r="N2060" s="420"/>
      <c r="O2060"/>
      <c r="P2060" s="412"/>
      <c r="Q2060" s="391"/>
      <c r="R2060" s="393"/>
    </row>
    <row r="2061" spans="1:18" ht="30" customHeight="1" x14ac:dyDescent="0.25">
      <c r="A2061" s="61"/>
      <c r="B2061" s="498"/>
      <c r="C2061" s="498"/>
      <c r="D2061" s="498"/>
      <c r="E2061" s="405"/>
      <c r="F2061" s="343"/>
      <c r="G2061" s="344" t="s">
        <v>535</v>
      </c>
      <c r="H2061" s="344"/>
      <c r="I2061" s="344"/>
      <c r="J2061" s="344"/>
      <c r="K2061" s="340">
        <v>1.02</v>
      </c>
      <c r="L2061" s="10"/>
      <c r="M2061" s="1356"/>
      <c r="N2061" s="420"/>
      <c r="O2061"/>
      <c r="P2061" s="412"/>
      <c r="Q2061" s="391"/>
      <c r="R2061" s="393"/>
    </row>
    <row r="2062" spans="1:18" ht="30" customHeight="1" x14ac:dyDescent="0.25">
      <c r="A2062" s="24"/>
      <c r="B2062" s="24"/>
      <c r="C2062" s="64"/>
      <c r="D2062" s="64"/>
      <c r="E2062" s="13"/>
      <c r="F2062" s="13"/>
      <c r="G2062" s="13"/>
      <c r="H2062" s="13"/>
      <c r="I2062" s="13"/>
      <c r="J2062" s="10" t="s">
        <v>358</v>
      </c>
      <c r="K2062" s="14">
        <f>+K2059*K2060/K2061</f>
        <v>333.62741372549016</v>
      </c>
      <c r="L2062" s="10" t="s">
        <v>9</v>
      </c>
      <c r="M2062" s="1356"/>
      <c r="N2062" s="420"/>
      <c r="O2062"/>
      <c r="P2062" s="412"/>
      <c r="Q2062" s="391"/>
      <c r="R2062" s="393"/>
    </row>
    <row r="2063" spans="1:18" ht="30" customHeight="1" x14ac:dyDescent="0.25">
      <c r="A2063" s="24"/>
      <c r="B2063" s="24"/>
      <c r="C2063" s="64"/>
      <c r="D2063" s="64"/>
      <c r="E2063" s="13"/>
      <c r="F2063" s="13"/>
      <c r="G2063" s="573" t="s">
        <v>652</v>
      </c>
      <c r="H2063" s="573"/>
      <c r="I2063" s="13"/>
      <c r="J2063" s="361">
        <f>VLOOKUP(B2053,'Mil Cost Premiums for RUCs'!$A$4:$R$265,18,FALSE)</f>
        <v>1.3319480854780448</v>
      </c>
      <c r="K2063" s="14">
        <f>+K2062*J2063</f>
        <v>444.37439497465817</v>
      </c>
      <c r="L2063" s="10" t="s">
        <v>9</v>
      </c>
      <c r="M2063" s="1356"/>
      <c r="N2063" s="420"/>
      <c r="O2063"/>
      <c r="P2063" s="412"/>
      <c r="Q2063" s="391"/>
      <c r="R2063" s="393"/>
    </row>
    <row r="2064" spans="1:18" ht="75" customHeight="1" x14ac:dyDescent="0.25">
      <c r="A2064" s="580" t="s">
        <v>538</v>
      </c>
      <c r="B2064" s="532"/>
      <c r="C2064" s="532"/>
      <c r="D2064" s="532"/>
      <c r="E2064" s="532"/>
      <c r="F2064" s="532"/>
      <c r="G2064" s="532"/>
      <c r="H2064" s="532"/>
      <c r="I2064" s="532"/>
      <c r="J2064" s="532"/>
      <c r="K2064" s="532"/>
      <c r="L2064" s="533"/>
      <c r="M2064" s="1356"/>
      <c r="N2064" s="420"/>
      <c r="O2064"/>
      <c r="P2064" s="412"/>
      <c r="Q2064" s="391"/>
      <c r="R2064" s="393"/>
    </row>
    <row r="2065" spans="1:18" ht="30" customHeight="1" x14ac:dyDescent="0.25">
      <c r="A2065" s="1044" t="s">
        <v>539</v>
      </c>
      <c r="B2065" s="1045"/>
      <c r="C2065" s="1046"/>
      <c r="D2065" s="386" t="s">
        <v>1598</v>
      </c>
      <c r="E2065" s="849"/>
      <c r="F2065" s="849"/>
      <c r="G2065" s="849"/>
      <c r="H2065" s="849"/>
      <c r="I2065" s="849"/>
      <c r="J2065" s="849"/>
      <c r="K2065" s="849"/>
      <c r="L2065" s="850"/>
      <c r="M2065" s="670"/>
      <c r="N2065" s="420"/>
      <c r="O2065"/>
      <c r="P2065" s="412"/>
      <c r="Q2065" s="391"/>
      <c r="R2065" s="393"/>
    </row>
    <row r="2066" spans="1:18" ht="30" customHeight="1" x14ac:dyDescent="0.25">
      <c r="A2066" s="1044" t="s">
        <v>541</v>
      </c>
      <c r="B2066" s="1045"/>
      <c r="C2066" s="1046"/>
      <c r="D2066" s="386" t="s">
        <v>1609</v>
      </c>
      <c r="E2066" s="849"/>
      <c r="F2066" s="849"/>
      <c r="G2066" s="849"/>
      <c r="H2066" s="849"/>
      <c r="I2066" s="849"/>
      <c r="J2066" s="849"/>
      <c r="K2066" s="849"/>
      <c r="L2066" s="850"/>
      <c r="M2066" s="419"/>
      <c r="N2066" s="420"/>
      <c r="O2066"/>
      <c r="P2066" s="412"/>
      <c r="Q2066" s="391"/>
      <c r="R2066" s="393"/>
    </row>
    <row r="2067" spans="1:18" ht="30" customHeight="1" x14ac:dyDescent="0.25">
      <c r="A2067" s="1044" t="s">
        <v>543</v>
      </c>
      <c r="B2067" s="1045"/>
      <c r="C2067" s="1046"/>
      <c r="D2067" s="386" t="s">
        <v>1610</v>
      </c>
      <c r="E2067" s="849"/>
      <c r="F2067" s="849"/>
      <c r="G2067" s="849"/>
      <c r="H2067" s="849"/>
      <c r="I2067" s="849"/>
      <c r="J2067" s="849"/>
      <c r="K2067" s="849"/>
      <c r="L2067" s="850"/>
      <c r="M2067" s="419"/>
      <c r="N2067" s="420"/>
      <c r="O2067"/>
      <c r="P2067" s="412"/>
      <c r="Q2067" s="391"/>
      <c r="R2067" s="393"/>
    </row>
    <row r="2068" spans="1:18" ht="30" customHeight="1" x14ac:dyDescent="0.25">
      <c r="A2068" s="1044" t="s">
        <v>546</v>
      </c>
      <c r="B2068" s="1045"/>
      <c r="C2068" s="1046"/>
      <c r="D2068" s="386" t="s">
        <v>1611</v>
      </c>
      <c r="E2068" s="849"/>
      <c r="F2068" s="849"/>
      <c r="G2068" s="849"/>
      <c r="H2068" s="849"/>
      <c r="I2068" s="849"/>
      <c r="J2068" s="849"/>
      <c r="K2068" s="849"/>
      <c r="L2068" s="850"/>
      <c r="M2068" s="419"/>
      <c r="N2068" s="420"/>
      <c r="O2068"/>
      <c r="P2068" s="412"/>
      <c r="Q2068" s="391"/>
      <c r="R2068" s="393"/>
    </row>
    <row r="2069" spans="1:18" s="49" customFormat="1" ht="45" customHeight="1" x14ac:dyDescent="0.25">
      <c r="A2069" s="1044" t="s">
        <v>548</v>
      </c>
      <c r="B2069" s="1045"/>
      <c r="C2069" s="1046"/>
      <c r="D2069" s="386" t="s">
        <v>1612</v>
      </c>
      <c r="E2069" s="849"/>
      <c r="F2069" s="849"/>
      <c r="G2069" s="849"/>
      <c r="H2069" s="849"/>
      <c r="I2069" s="849"/>
      <c r="J2069" s="849"/>
      <c r="K2069" s="849"/>
      <c r="L2069" s="850"/>
      <c r="M2069" s="425"/>
      <c r="N2069" s="420"/>
      <c r="P2069" s="412"/>
      <c r="Q2069" s="391"/>
      <c r="R2069" s="393"/>
    </row>
    <row r="2070" spans="1:18" ht="30" customHeight="1" x14ac:dyDescent="0.25">
      <c r="A2070" s="1044" t="s">
        <v>550</v>
      </c>
      <c r="B2070" s="1045"/>
      <c r="C2070" s="1046"/>
      <c r="D2070" s="386" t="s">
        <v>1251</v>
      </c>
      <c r="E2070" s="849"/>
      <c r="F2070" s="849"/>
      <c r="G2070" s="849"/>
      <c r="H2070" s="849"/>
      <c r="I2070" s="849"/>
      <c r="J2070" s="849"/>
      <c r="K2070" s="849"/>
      <c r="L2070" s="850"/>
      <c r="M2070" s="419"/>
      <c r="N2070" s="420"/>
      <c r="O2070"/>
      <c r="P2070" s="412"/>
      <c r="Q2070" s="391"/>
      <c r="R2070" s="393"/>
    </row>
    <row r="2071" spans="1:18" ht="30" customHeight="1" x14ac:dyDescent="0.25">
      <c r="A2071" s="1044" t="s">
        <v>552</v>
      </c>
      <c r="B2071" s="1045"/>
      <c r="C2071" s="1046"/>
      <c r="D2071" s="386" t="s">
        <v>1613</v>
      </c>
      <c r="E2071" s="849"/>
      <c r="F2071" s="849"/>
      <c r="G2071" s="849"/>
      <c r="H2071" s="849"/>
      <c r="I2071" s="849"/>
      <c r="J2071" s="849"/>
      <c r="K2071" s="849"/>
      <c r="L2071" s="850"/>
      <c r="M2071" s="419"/>
      <c r="N2071" s="420"/>
      <c r="O2071"/>
      <c r="P2071" s="412"/>
      <c r="Q2071" s="391"/>
      <c r="R2071" s="393"/>
    </row>
    <row r="2072" spans="1:18" ht="75" customHeight="1" x14ac:dyDescent="0.25">
      <c r="A2072" s="1044" t="s">
        <v>553</v>
      </c>
      <c r="B2072" s="1045"/>
      <c r="C2072" s="1046"/>
      <c r="D2072" s="386" t="s">
        <v>660</v>
      </c>
      <c r="E2072" s="849"/>
      <c r="F2072" s="849"/>
      <c r="G2072" s="849"/>
      <c r="H2072" s="849"/>
      <c r="I2072" s="849"/>
      <c r="J2072" s="849"/>
      <c r="K2072" s="849"/>
      <c r="L2072" s="850"/>
      <c r="M2072" s="419"/>
      <c r="N2072" s="420"/>
      <c r="O2072"/>
      <c r="P2072" s="412"/>
      <c r="Q2072" s="391"/>
      <c r="R2072" s="393"/>
    </row>
    <row r="2073" spans="1:18" ht="45" customHeight="1" thickBot="1" x14ac:dyDescent="0.3">
      <c r="A2073" s="1044" t="s">
        <v>556</v>
      </c>
      <c r="B2073" s="1045"/>
      <c r="C2073" s="1046"/>
      <c r="D2073" s="386" t="s">
        <v>1604</v>
      </c>
      <c r="E2073" s="849"/>
      <c r="F2073" s="849"/>
      <c r="G2073" s="849"/>
      <c r="H2073" s="849"/>
      <c r="I2073" s="849"/>
      <c r="J2073" s="849"/>
      <c r="K2073" s="849"/>
      <c r="L2073" s="850"/>
      <c r="M2073" s="419"/>
      <c r="N2073" s="420"/>
      <c r="O2073"/>
      <c r="P2073" s="412"/>
      <c r="Q2073" s="391"/>
      <c r="R2073" s="393"/>
    </row>
    <row r="2074" spans="1:18" ht="30" customHeight="1" thickBot="1" x14ac:dyDescent="0.3">
      <c r="A2074" s="76"/>
      <c r="B2074" s="77"/>
      <c r="C2074" s="77"/>
      <c r="D2074" s="77"/>
      <c r="E2074" s="77"/>
      <c r="F2074" s="77"/>
      <c r="G2074" s="77"/>
      <c r="H2074" s="77"/>
      <c r="I2074" s="77"/>
      <c r="J2074" s="77"/>
      <c r="K2074" s="77"/>
      <c r="L2074" s="78"/>
      <c r="M2074" s="419"/>
      <c r="N2074" s="420"/>
      <c r="O2074"/>
      <c r="P2074" s="412"/>
      <c r="Q2074" s="391"/>
      <c r="R2074" s="393"/>
    </row>
    <row r="2075" spans="1:18" ht="30" customHeight="1" x14ac:dyDescent="0.25">
      <c r="A2075" s="30" t="s">
        <v>288</v>
      </c>
      <c r="B2075" s="208">
        <v>3103</v>
      </c>
      <c r="C2075" s="209" t="s">
        <v>1614</v>
      </c>
      <c r="D2075" s="210"/>
      <c r="E2075" s="177" t="s">
        <v>291</v>
      </c>
      <c r="F2075" s="178" t="s">
        <v>9</v>
      </c>
      <c r="G2075" s="123" t="s">
        <v>375</v>
      </c>
      <c r="H2075" s="539">
        <v>11992</v>
      </c>
      <c r="I2075" s="177" t="s">
        <v>292</v>
      </c>
      <c r="J2075" s="38" t="s">
        <v>883</v>
      </c>
      <c r="K2075" s="38"/>
      <c r="L2075" s="389"/>
      <c r="M2075" s="670"/>
      <c r="N2075" s="671"/>
      <c r="O2075" s="43"/>
      <c r="P2075" s="672"/>
      <c r="Q2075" s="671"/>
      <c r="R2075" s="673"/>
    </row>
    <row r="2076" spans="1:18" ht="30" customHeight="1" x14ac:dyDescent="0.25">
      <c r="A2076" s="48" t="s">
        <v>529</v>
      </c>
      <c r="B2076" s="394" t="s">
        <v>560</v>
      </c>
      <c r="C2076" s="395"/>
      <c r="D2076" s="396"/>
      <c r="E2076" s="397" t="s">
        <v>519</v>
      </c>
      <c r="F2076" s="397" t="s">
        <v>561</v>
      </c>
      <c r="G2076" s="398" t="s">
        <v>562</v>
      </c>
      <c r="H2076" s="399"/>
      <c r="I2076" s="181" t="s">
        <v>530</v>
      </c>
      <c r="J2076" s="181"/>
      <c r="K2076" s="288" t="s">
        <v>521</v>
      </c>
      <c r="L2076" s="289"/>
      <c r="M2076" s="670"/>
      <c r="N2076" s="671"/>
      <c r="O2076" s="43"/>
      <c r="P2076" s="672"/>
      <c r="Q2076" s="671"/>
      <c r="R2076" s="673"/>
    </row>
    <row r="2077" spans="1:18" ht="30" customHeight="1" x14ac:dyDescent="0.25">
      <c r="A2077" s="61" t="s">
        <v>649</v>
      </c>
      <c r="B2077" s="346" t="s">
        <v>1596</v>
      </c>
      <c r="C2077" s="347"/>
      <c r="D2077" s="348"/>
      <c r="E2077" s="405">
        <v>222.42</v>
      </c>
      <c r="F2077" s="20" t="s">
        <v>9</v>
      </c>
      <c r="G2077" s="794"/>
      <c r="H2077" s="649"/>
      <c r="I2077" s="20">
        <v>1.06</v>
      </c>
      <c r="J2077" s="751"/>
      <c r="K2077" s="405">
        <f>+E2077*I2077</f>
        <v>235.76519999999999</v>
      </c>
      <c r="L2077" s="20" t="s">
        <v>9</v>
      </c>
      <c r="M2077" s="419"/>
      <c r="N2077" s="420"/>
      <c r="O2077"/>
      <c r="P2077" s="412"/>
      <c r="Q2077" s="391"/>
      <c r="R2077" s="393"/>
    </row>
    <row r="2078" spans="1:18" ht="30" customHeight="1" x14ac:dyDescent="0.25">
      <c r="A2078" s="61" t="s">
        <v>649</v>
      </c>
      <c r="B2078" s="503" t="s">
        <v>1615</v>
      </c>
      <c r="C2078" s="504"/>
      <c r="D2078" s="504"/>
      <c r="E2078" s="405">
        <v>34.4</v>
      </c>
      <c r="F2078" s="730" t="s">
        <v>9</v>
      </c>
      <c r="G2078" s="752"/>
      <c r="H2078" s="750"/>
      <c r="I2078" s="20">
        <v>1.06</v>
      </c>
      <c r="J2078" s="751"/>
      <c r="K2078" s="405">
        <f>+E2078*I2078</f>
        <v>36.463999999999999</v>
      </c>
      <c r="L2078" s="20" t="s">
        <v>9</v>
      </c>
      <c r="M2078" s="419"/>
      <c r="N2078" s="420"/>
      <c r="O2078"/>
      <c r="P2078" s="412"/>
      <c r="Q2078" s="391"/>
      <c r="R2078" s="393"/>
    </row>
    <row r="2079" spans="1:18" ht="30" customHeight="1" x14ac:dyDescent="0.25">
      <c r="A2079" s="61" t="s">
        <v>1616</v>
      </c>
      <c r="B2079" s="402" t="s">
        <v>1617</v>
      </c>
      <c r="C2079" s="403"/>
      <c r="D2079" s="403"/>
      <c r="E2079" s="405">
        <v>153000</v>
      </c>
      <c r="F2079" s="730" t="s">
        <v>11</v>
      </c>
      <c r="G2079" s="752">
        <f>+H2075</f>
        <v>11992</v>
      </c>
      <c r="H2079" s="750" t="s">
        <v>1468</v>
      </c>
      <c r="I2079" s="20">
        <v>1.03</v>
      </c>
      <c r="J2079" s="751"/>
      <c r="K2079" s="405">
        <f>+(E2079*6)/G2079*I2079</f>
        <v>78.847565043362252</v>
      </c>
      <c r="L2079" s="20" t="s">
        <v>9</v>
      </c>
      <c r="M2079" s="419"/>
      <c r="N2079" s="420"/>
      <c r="O2079"/>
      <c r="P2079" s="412"/>
      <c r="Q2079" s="391"/>
      <c r="R2079" s="393"/>
    </row>
    <row r="2080" spans="1:18" ht="30" customHeight="1" x14ac:dyDescent="0.25">
      <c r="A2080" s="61" t="s">
        <v>644</v>
      </c>
      <c r="B2080" s="503" t="s">
        <v>1589</v>
      </c>
      <c r="C2080" s="504"/>
      <c r="D2080" s="504"/>
      <c r="E2080" s="405">
        <v>4.01</v>
      </c>
      <c r="F2080" s="730" t="s">
        <v>9</v>
      </c>
      <c r="G2080" s="752"/>
      <c r="H2080" s="750"/>
      <c r="I2080" s="20">
        <v>1.06</v>
      </c>
      <c r="J2080" s="751"/>
      <c r="K2080" s="405">
        <f>+E2080*I2080</f>
        <v>4.2506000000000004</v>
      </c>
      <c r="L2080" s="20" t="s">
        <v>9</v>
      </c>
      <c r="M2080" s="419"/>
      <c r="N2080" s="420"/>
      <c r="O2080"/>
      <c r="P2080" s="412"/>
      <c r="Q2080" s="391"/>
      <c r="R2080" s="393"/>
    </row>
    <row r="2081" spans="1:18" ht="30" customHeight="1" x14ac:dyDescent="0.25">
      <c r="A2081" s="61"/>
      <c r="B2081" s="191"/>
      <c r="C2081" s="191"/>
      <c r="D2081" s="191"/>
      <c r="E2081" s="405"/>
      <c r="F2081" s="20"/>
      <c r="G2081" s="838"/>
      <c r="H2081" s="754"/>
      <c r="I2081" s="20"/>
      <c r="J2081" s="20" t="s">
        <v>578</v>
      </c>
      <c r="K2081" s="405">
        <f>SUM(K2077:K2080)</f>
        <v>355.32736504336225</v>
      </c>
      <c r="L2081" s="20" t="s">
        <v>9</v>
      </c>
      <c r="M2081" s="419"/>
      <c r="N2081" s="420"/>
      <c r="O2081"/>
      <c r="P2081" s="412"/>
      <c r="Q2081" s="391"/>
      <c r="R2081" s="393"/>
    </row>
    <row r="2082" spans="1:18" ht="30" customHeight="1" x14ac:dyDescent="0.25">
      <c r="A2082" s="61"/>
      <c r="B2082" s="410"/>
      <c r="C2082" s="410"/>
      <c r="D2082" s="410"/>
      <c r="E2082" s="405"/>
      <c r="F2082" s="338" t="s">
        <v>533</v>
      </c>
      <c r="G2082" s="339" t="s">
        <v>534</v>
      </c>
      <c r="H2082" s="339"/>
      <c r="I2082" s="339"/>
      <c r="J2082" s="339"/>
      <c r="K2082" s="751">
        <v>1.0900000000000001</v>
      </c>
      <c r="L2082" s="10"/>
      <c r="M2082" s="419"/>
      <c r="N2082" s="420"/>
      <c r="O2082"/>
      <c r="P2082" s="412"/>
      <c r="Q2082" s="391"/>
      <c r="R2082" s="393"/>
    </row>
    <row r="2083" spans="1:18" ht="30" customHeight="1" x14ac:dyDescent="0.25">
      <c r="A2083" s="61"/>
      <c r="B2083" s="410"/>
      <c r="C2083" s="410"/>
      <c r="D2083" s="410"/>
      <c r="E2083" s="405"/>
      <c r="F2083" s="343"/>
      <c r="G2083" s="344" t="s">
        <v>535</v>
      </c>
      <c r="H2083" s="344"/>
      <c r="I2083" s="344"/>
      <c r="J2083" s="344"/>
      <c r="K2083" s="340">
        <v>1.02</v>
      </c>
      <c r="L2083" s="10"/>
      <c r="M2083" s="419"/>
      <c r="N2083" s="420"/>
      <c r="O2083"/>
      <c r="P2083" s="412"/>
      <c r="Q2083" s="391"/>
      <c r="R2083" s="393"/>
    </row>
    <row r="2084" spans="1:18" ht="30" customHeight="1" x14ac:dyDescent="0.25">
      <c r="A2084" s="61"/>
      <c r="B2084" s="20"/>
      <c r="C2084" s="18"/>
      <c r="D2084" s="1120" t="s">
        <v>1618</v>
      </c>
      <c r="E2084" s="18"/>
      <c r="F2084" s="18"/>
      <c r="G2084" s="18"/>
      <c r="H2084" s="18"/>
      <c r="I2084" s="18"/>
      <c r="J2084" s="18" t="s">
        <v>358</v>
      </c>
      <c r="K2084" s="23">
        <f>+K2081*K2082/K2083</f>
        <v>379.71257636986752</v>
      </c>
      <c r="L2084" s="20" t="s">
        <v>9</v>
      </c>
      <c r="M2084" s="419"/>
      <c r="N2084" s="420"/>
      <c r="O2084"/>
      <c r="P2084" s="412"/>
      <c r="Q2084" s="391"/>
      <c r="R2084" s="393"/>
    </row>
    <row r="2085" spans="1:18" ht="30" customHeight="1" thickBot="1" x14ac:dyDescent="0.3">
      <c r="A2085" s="61"/>
      <c r="B2085" s="61"/>
      <c r="C2085" s="63"/>
      <c r="D2085" s="63"/>
      <c r="E2085" s="63"/>
      <c r="F2085" s="63"/>
      <c r="G2085" s="445" t="s">
        <v>537</v>
      </c>
      <c r="H2085" s="63"/>
      <c r="I2085" s="63"/>
      <c r="J2085" s="447">
        <f>VLOOKUP(B2075,'Mil Cost Premiums for RUCs'!$A$4:$R$265,18,FALSE)</f>
        <v>1.3319480854780448</v>
      </c>
      <c r="K2085" s="21">
        <f>+K2084*J2085</f>
        <v>505.75743912778091</v>
      </c>
      <c r="L2085" s="61" t="s">
        <v>9</v>
      </c>
      <c r="M2085" s="1356"/>
      <c r="N2085" s="420"/>
      <c r="O2085"/>
      <c r="P2085" s="412"/>
      <c r="Q2085" s="391"/>
      <c r="R2085" s="393"/>
    </row>
    <row r="2086" spans="1:18" ht="30" customHeight="1" thickBot="1" x14ac:dyDescent="0.3">
      <c r="A2086" s="76"/>
      <c r="B2086" s="77"/>
      <c r="C2086" s="77"/>
      <c r="D2086" s="77"/>
      <c r="E2086" s="77"/>
      <c r="F2086" s="77"/>
      <c r="G2086" s="77"/>
      <c r="H2086" s="77"/>
      <c r="I2086" s="77"/>
      <c r="J2086" s="77"/>
      <c r="K2086" s="77"/>
      <c r="L2086" s="78"/>
      <c r="M2086" s="419"/>
      <c r="N2086" s="420"/>
      <c r="O2086"/>
      <c r="P2086" s="412"/>
      <c r="Q2086" s="391"/>
      <c r="R2086" s="393"/>
    </row>
    <row r="2087" spans="1:18" ht="30" customHeight="1" x14ac:dyDescent="0.25">
      <c r="A2087" s="30" t="s">
        <v>288</v>
      </c>
      <c r="B2087" s="208">
        <v>3104</v>
      </c>
      <c r="C2087" s="209" t="s">
        <v>1619</v>
      </c>
      <c r="D2087" s="210"/>
      <c r="E2087" s="177" t="s">
        <v>291</v>
      </c>
      <c r="F2087" s="178" t="s">
        <v>9</v>
      </c>
      <c r="G2087" s="123" t="s">
        <v>375</v>
      </c>
      <c r="H2087" s="388">
        <v>417</v>
      </c>
      <c r="I2087" s="177" t="s">
        <v>292</v>
      </c>
      <c r="J2087" s="38" t="s">
        <v>883</v>
      </c>
      <c r="K2087" s="38"/>
      <c r="L2087" s="389"/>
      <c r="M2087" s="419"/>
      <c r="N2087" s="420"/>
      <c r="O2087"/>
      <c r="P2087" s="412"/>
      <c r="Q2087" s="391"/>
      <c r="R2087" s="393"/>
    </row>
    <row r="2088" spans="1:18" ht="30" customHeight="1" x14ac:dyDescent="0.25">
      <c r="A2088" s="48" t="s">
        <v>529</v>
      </c>
      <c r="B2088" s="394" t="s">
        <v>560</v>
      </c>
      <c r="C2088" s="395"/>
      <c r="D2088" s="396"/>
      <c r="E2088" s="397" t="s">
        <v>519</v>
      </c>
      <c r="F2088" s="397" t="s">
        <v>561</v>
      </c>
      <c r="G2088" s="398" t="s">
        <v>562</v>
      </c>
      <c r="H2088" s="399"/>
      <c r="I2088" s="181" t="s">
        <v>530</v>
      </c>
      <c r="J2088" s="181"/>
      <c r="K2088" s="288" t="s">
        <v>521</v>
      </c>
      <c r="L2088" s="289"/>
      <c r="M2088" s="419"/>
      <c r="N2088" s="420"/>
      <c r="O2088"/>
      <c r="P2088" s="412"/>
      <c r="Q2088" s="391"/>
      <c r="R2088" s="393"/>
    </row>
    <row r="2089" spans="1:18" ht="45" customHeight="1" x14ac:dyDescent="0.25">
      <c r="A2089" s="61" t="s">
        <v>649</v>
      </c>
      <c r="B2089" s="346" t="s">
        <v>1620</v>
      </c>
      <c r="C2089" s="347"/>
      <c r="D2089" s="348"/>
      <c r="E2089" s="405">
        <f>222.42-2.42</f>
        <v>220</v>
      </c>
      <c r="F2089" s="20" t="s">
        <v>9</v>
      </c>
      <c r="G2089" s="794"/>
      <c r="H2089" s="649"/>
      <c r="I2089" s="20">
        <v>1.06</v>
      </c>
      <c r="J2089" s="751"/>
      <c r="K2089" s="405">
        <f>+E2089*I2089</f>
        <v>233.20000000000002</v>
      </c>
      <c r="L2089" s="20" t="s">
        <v>9</v>
      </c>
      <c r="M2089" s="433"/>
      <c r="N2089" s="420"/>
      <c r="O2089"/>
      <c r="P2089" s="412"/>
      <c r="Q2089" s="391"/>
      <c r="R2089" s="393"/>
    </row>
    <row r="2090" spans="1:18" ht="30" customHeight="1" x14ac:dyDescent="0.25">
      <c r="A2090" s="61" t="s">
        <v>649</v>
      </c>
      <c r="B2090" s="503" t="s">
        <v>1615</v>
      </c>
      <c r="C2090" s="504"/>
      <c r="D2090" s="504"/>
      <c r="E2090" s="405">
        <v>34.4</v>
      </c>
      <c r="F2090" s="730" t="s">
        <v>9</v>
      </c>
      <c r="G2090" s="752"/>
      <c r="H2090" s="750"/>
      <c r="I2090" s="20">
        <v>1.06</v>
      </c>
      <c r="J2090" s="751"/>
      <c r="K2090" s="405">
        <f>+E2090*I2090</f>
        <v>36.463999999999999</v>
      </c>
      <c r="L2090" s="20" t="s">
        <v>9</v>
      </c>
      <c r="M2090" s="419"/>
      <c r="N2090" s="420"/>
      <c r="O2090"/>
      <c r="P2090" s="412"/>
      <c r="Q2090" s="391"/>
      <c r="R2090" s="393"/>
    </row>
    <row r="2091" spans="1:18" s="49" customFormat="1" ht="30" customHeight="1" x14ac:dyDescent="0.25">
      <c r="A2091" s="61" t="s">
        <v>1616</v>
      </c>
      <c r="B2091" s="402" t="s">
        <v>1621</v>
      </c>
      <c r="C2091" s="403"/>
      <c r="D2091" s="404"/>
      <c r="E2091" s="405">
        <v>109000</v>
      </c>
      <c r="F2091" s="730" t="s">
        <v>11</v>
      </c>
      <c r="G2091" s="752">
        <f>+H2087</f>
        <v>417</v>
      </c>
      <c r="H2091" s="750" t="s">
        <v>1468</v>
      </c>
      <c r="I2091" s="20">
        <v>1.03</v>
      </c>
      <c r="J2091" s="751"/>
      <c r="K2091" s="405">
        <f>+(E2091*1)/G2091*I2091</f>
        <v>269.23261390887291</v>
      </c>
      <c r="L2091" s="20" t="s">
        <v>9</v>
      </c>
      <c r="M2091" s="425"/>
      <c r="N2091" s="420"/>
      <c r="P2091" s="412"/>
      <c r="Q2091" s="391"/>
      <c r="R2091" s="393"/>
    </row>
    <row r="2092" spans="1:18" ht="30" customHeight="1" x14ac:dyDescent="0.25">
      <c r="A2092" s="61" t="s">
        <v>644</v>
      </c>
      <c r="B2092" s="503" t="s">
        <v>1622</v>
      </c>
      <c r="C2092" s="504"/>
      <c r="D2092" s="505"/>
      <c r="E2092" s="405">
        <v>5.0599999999999996</v>
      </c>
      <c r="F2092" s="730" t="s">
        <v>9</v>
      </c>
      <c r="G2092" s="752"/>
      <c r="H2092" s="750"/>
      <c r="I2092" s="20">
        <v>1.06</v>
      </c>
      <c r="J2092" s="751"/>
      <c r="K2092" s="405">
        <f>+E2092*I2092</f>
        <v>5.3635999999999999</v>
      </c>
      <c r="L2092" s="20" t="s">
        <v>9</v>
      </c>
      <c r="N2092" s="420"/>
      <c r="O2092"/>
      <c r="P2092" s="412"/>
      <c r="Q2092" s="391"/>
      <c r="R2092" s="393"/>
    </row>
    <row r="2093" spans="1:18" ht="30" customHeight="1" x14ac:dyDescent="0.25">
      <c r="A2093" s="61"/>
      <c r="B2093" s="191"/>
      <c r="C2093" s="191"/>
      <c r="D2093" s="191"/>
      <c r="E2093" s="405"/>
      <c r="F2093" s="20"/>
      <c r="G2093" s="838"/>
      <c r="H2093" s="754"/>
      <c r="I2093" s="20"/>
      <c r="J2093" s="20" t="s">
        <v>578</v>
      </c>
      <c r="K2093" s="405">
        <f>SUM(K2089:K2092)</f>
        <v>544.26021390887297</v>
      </c>
      <c r="L2093" s="20" t="s">
        <v>9</v>
      </c>
      <c r="M2093" s="419"/>
      <c r="N2093" s="420"/>
      <c r="O2093"/>
      <c r="P2093" s="412"/>
      <c r="Q2093" s="391"/>
      <c r="R2093" s="393"/>
    </row>
    <row r="2094" spans="1:18" ht="30" customHeight="1" x14ac:dyDescent="0.25">
      <c r="A2094" s="61"/>
      <c r="B2094" s="410"/>
      <c r="C2094" s="410"/>
      <c r="D2094" s="410"/>
      <c r="E2094" s="405"/>
      <c r="F2094" s="338" t="s">
        <v>533</v>
      </c>
      <c r="G2094" s="339" t="s">
        <v>534</v>
      </c>
      <c r="H2094" s="339"/>
      <c r="I2094" s="339"/>
      <c r="J2094" s="339"/>
      <c r="K2094" s="751">
        <v>1.0900000000000001</v>
      </c>
      <c r="L2094" s="10"/>
      <c r="M2094" s="419"/>
      <c r="N2094" s="420"/>
      <c r="O2094"/>
      <c r="P2094" s="412"/>
      <c r="Q2094" s="391"/>
      <c r="R2094" s="393"/>
    </row>
    <row r="2095" spans="1:18" ht="30" customHeight="1" x14ac:dyDescent="0.25">
      <c r="A2095" s="61"/>
      <c r="B2095" s="410"/>
      <c r="C2095" s="410"/>
      <c r="D2095" s="410"/>
      <c r="E2095" s="405"/>
      <c r="F2095" s="343"/>
      <c r="G2095" s="344" t="s">
        <v>535</v>
      </c>
      <c r="H2095" s="344"/>
      <c r="I2095" s="344"/>
      <c r="J2095" s="344"/>
      <c r="K2095" s="340">
        <v>1.02</v>
      </c>
      <c r="L2095" s="10"/>
      <c r="M2095" s="419"/>
      <c r="N2095" s="420"/>
      <c r="O2095"/>
      <c r="P2095" s="412"/>
      <c r="Q2095" s="391"/>
      <c r="R2095" s="393"/>
    </row>
    <row r="2096" spans="1:18" ht="30" customHeight="1" x14ac:dyDescent="0.25">
      <c r="A2096" s="61"/>
      <c r="B2096" s="1121"/>
      <c r="C2096" s="1122"/>
      <c r="D2096" s="1123"/>
      <c r="E2096" s="18"/>
      <c r="F2096" s="18"/>
      <c r="G2096" s="18"/>
      <c r="H2096" s="18"/>
      <c r="I2096" s="18"/>
      <c r="J2096" s="18" t="s">
        <v>358</v>
      </c>
      <c r="K2096" s="23">
        <f>+K2093*K2094/K2095</f>
        <v>581.61140505948197</v>
      </c>
      <c r="L2096" s="20" t="s">
        <v>9</v>
      </c>
      <c r="M2096" s="419"/>
      <c r="N2096" s="420"/>
      <c r="O2096"/>
      <c r="P2096" s="412"/>
      <c r="Q2096" s="391"/>
      <c r="R2096" s="393"/>
    </row>
    <row r="2097" spans="1:21" ht="30" customHeight="1" thickBot="1" x14ac:dyDescent="0.3">
      <c r="A2097" s="61"/>
      <c r="B2097" s="61"/>
      <c r="C2097" s="63"/>
      <c r="D2097" s="63"/>
      <c r="E2097" s="63"/>
      <c r="F2097" s="63"/>
      <c r="G2097" s="445" t="s">
        <v>537</v>
      </c>
      <c r="H2097" s="63"/>
      <c r="I2097" s="63"/>
      <c r="J2097" s="447">
        <f>VLOOKUP(B2087,'Mil Cost Premiums for RUCs'!$A$4:$R$265,18,FALSE)</f>
        <v>1.3319480854780448</v>
      </c>
      <c r="K2097" s="21">
        <f>+K2096*J2097</f>
        <v>774.67619746117259</v>
      </c>
      <c r="L2097" s="61" t="s">
        <v>9</v>
      </c>
      <c r="M2097" s="670"/>
      <c r="N2097" s="671"/>
      <c r="O2097" s="43"/>
      <c r="P2097" s="672"/>
      <c r="Q2097" s="671"/>
      <c r="R2097" s="673"/>
    </row>
    <row r="2098" spans="1:21" ht="30" customHeight="1" thickBot="1" x14ac:dyDescent="0.3">
      <c r="A2098" s="76"/>
      <c r="B2098" s="77"/>
      <c r="C2098" s="77"/>
      <c r="D2098" s="77"/>
      <c r="E2098" s="77"/>
      <c r="F2098" s="77"/>
      <c r="G2098" s="77"/>
      <c r="H2098" s="77"/>
      <c r="I2098" s="77"/>
      <c r="J2098" s="77"/>
      <c r="K2098" s="77"/>
      <c r="L2098" s="78"/>
      <c r="M2098" s="670"/>
      <c r="N2098" s="671"/>
      <c r="O2098" s="43"/>
      <c r="P2098" s="672"/>
      <c r="Q2098" s="671"/>
      <c r="R2098" s="673"/>
    </row>
    <row r="2099" spans="1:21" ht="30" customHeight="1" x14ac:dyDescent="0.25">
      <c r="A2099" s="207" t="s">
        <v>288</v>
      </c>
      <c r="B2099" s="208">
        <v>3111</v>
      </c>
      <c r="C2099" s="282" t="s">
        <v>1623</v>
      </c>
      <c r="D2099" s="283"/>
      <c r="E2099" s="177" t="s">
        <v>291</v>
      </c>
      <c r="F2099" s="178" t="s">
        <v>9</v>
      </c>
      <c r="G2099" s="123" t="s">
        <v>375</v>
      </c>
      <c r="H2099" s="302">
        <v>21500</v>
      </c>
      <c r="I2099" s="177" t="s">
        <v>292</v>
      </c>
      <c r="J2099" s="38" t="s">
        <v>1624</v>
      </c>
      <c r="K2099" s="39"/>
      <c r="L2099" s="40"/>
      <c r="M2099" s="419"/>
      <c r="N2099" s="420"/>
      <c r="O2099"/>
      <c r="P2099" s="412"/>
      <c r="Q2099" s="391"/>
      <c r="R2099" s="393"/>
    </row>
    <row r="2100" spans="1:21" ht="30" customHeight="1" x14ac:dyDescent="0.25">
      <c r="A2100" s="181" t="s">
        <v>517</v>
      </c>
      <c r="B2100" s="180" t="s">
        <v>295</v>
      </c>
      <c r="C2100" s="180"/>
      <c r="D2100" s="180"/>
      <c r="E2100" s="285" t="s">
        <v>519</v>
      </c>
      <c r="F2100" s="181" t="s">
        <v>518</v>
      </c>
      <c r="G2100" s="665" t="s">
        <v>2</v>
      </c>
      <c r="H2100" s="666"/>
      <c r="I2100" s="286" t="s">
        <v>520</v>
      </c>
      <c r="J2100" s="287"/>
      <c r="K2100" s="288" t="s">
        <v>521</v>
      </c>
      <c r="L2100" s="289"/>
      <c r="M2100" s="419"/>
      <c r="N2100" s="420"/>
      <c r="O2100"/>
      <c r="P2100" s="412"/>
      <c r="Q2100" s="391"/>
      <c r="R2100" s="393"/>
    </row>
    <row r="2101" spans="1:21" ht="30" customHeight="1" x14ac:dyDescent="0.25">
      <c r="A2101" s="20">
        <v>31010</v>
      </c>
      <c r="B2101" s="503" t="s">
        <v>1625</v>
      </c>
      <c r="C2101" s="504"/>
      <c r="D2101" s="505"/>
      <c r="E2101" s="405">
        <v>247</v>
      </c>
      <c r="F2101" s="729">
        <v>9000</v>
      </c>
      <c r="G2101" s="680" t="s">
        <v>9</v>
      </c>
      <c r="H2101" s="680"/>
      <c r="I2101" s="1109">
        <f>+'MILCON Inflation Table'!F8</f>
        <v>1.2318227593152065</v>
      </c>
      <c r="J2101" s="1110"/>
      <c r="K2101" s="304">
        <f>+E2101*I2101</f>
        <v>304.26022155085599</v>
      </c>
      <c r="L2101" s="290" t="s">
        <v>9</v>
      </c>
      <c r="M2101" s="419"/>
      <c r="N2101" s="420"/>
      <c r="O2101"/>
      <c r="P2101" s="412"/>
      <c r="Q2101" s="391"/>
      <c r="R2101" s="393"/>
    </row>
    <row r="2102" spans="1:21" ht="30" customHeight="1" x14ac:dyDescent="0.25">
      <c r="A2102" s="20">
        <v>21110</v>
      </c>
      <c r="B2102" s="402" t="s">
        <v>1626</v>
      </c>
      <c r="C2102" s="403"/>
      <c r="D2102" s="404"/>
      <c r="E2102" s="405">
        <v>312</v>
      </c>
      <c r="F2102" s="729">
        <v>54000</v>
      </c>
      <c r="G2102" s="680" t="s">
        <v>9</v>
      </c>
      <c r="H2102" s="680"/>
      <c r="I2102" s="295">
        <f>+'MILCON Inflation Table'!F17</f>
        <v>0.9432470865927236</v>
      </c>
      <c r="J2102" s="296"/>
      <c r="K2102" s="304">
        <f>+E2102*I2102</f>
        <v>294.29309101692979</v>
      </c>
      <c r="L2102" s="290" t="s">
        <v>9</v>
      </c>
      <c r="M2102" s="419"/>
      <c r="N2102" s="420"/>
      <c r="O2102"/>
      <c r="P2102" s="412"/>
      <c r="Q2102" s="391"/>
      <c r="R2102" s="393"/>
    </row>
    <row r="2103" spans="1:21" s="49" customFormat="1" ht="30" customHeight="1" x14ac:dyDescent="0.25">
      <c r="A2103" s="20">
        <v>21120</v>
      </c>
      <c r="B2103" s="402" t="s">
        <v>1627</v>
      </c>
      <c r="C2103" s="403"/>
      <c r="D2103" s="404"/>
      <c r="E2103" s="405">
        <v>267.67</v>
      </c>
      <c r="F2103" s="729">
        <v>32000</v>
      </c>
      <c r="G2103" s="680" t="s">
        <v>9</v>
      </c>
      <c r="H2103" s="680"/>
      <c r="I2103" s="295">
        <f>+'MILCON Inflation Table'!F13</f>
        <v>1.0397823869432166</v>
      </c>
      <c r="J2103" s="296"/>
      <c r="K2103" s="304">
        <f>+E2103*I2103</f>
        <v>278.31855151309077</v>
      </c>
      <c r="L2103" s="290" t="s">
        <v>9</v>
      </c>
      <c r="M2103" s="425"/>
      <c r="N2103" s="420"/>
      <c r="P2103" s="412"/>
      <c r="Q2103" s="391"/>
      <c r="R2103" s="393"/>
    </row>
    <row r="2104" spans="1:21" ht="30" customHeight="1" x14ac:dyDescent="0.25">
      <c r="A2104" s="20">
        <v>21140</v>
      </c>
      <c r="B2104" s="402" t="s">
        <v>1628</v>
      </c>
      <c r="C2104" s="403"/>
      <c r="D2104" s="404"/>
      <c r="E2104" s="405">
        <v>229</v>
      </c>
      <c r="F2104" s="729">
        <v>26000</v>
      </c>
      <c r="G2104" s="680" t="s">
        <v>9</v>
      </c>
      <c r="H2104" s="680"/>
      <c r="I2104" s="1109">
        <f>+'MILCON Inflation Table'!F10</f>
        <v>1.1691837124832727</v>
      </c>
      <c r="J2104" s="1110"/>
      <c r="K2104" s="304">
        <f>+E2104*I2104</f>
        <v>267.74307015866947</v>
      </c>
      <c r="L2104" s="290" t="s">
        <v>9</v>
      </c>
      <c r="M2104" s="433"/>
      <c r="N2104" s="420"/>
      <c r="O2104"/>
      <c r="P2104" s="412"/>
      <c r="Q2104" s="391"/>
      <c r="R2104" s="393"/>
    </row>
    <row r="2105" spans="1:21" ht="30" customHeight="1" x14ac:dyDescent="0.25">
      <c r="A2105" s="20"/>
      <c r="B2105" s="919"/>
      <c r="C2105" s="920"/>
      <c r="D2105" s="750"/>
      <c r="E2105" s="682"/>
      <c r="F2105" s="1124"/>
      <c r="G2105" s="1125"/>
      <c r="H2105" s="1126"/>
      <c r="I2105" s="1127"/>
      <c r="J2105" s="1128" t="s">
        <v>536</v>
      </c>
      <c r="K2105" s="304">
        <f>AVERAGE(K2101:K2104)</f>
        <v>286.15373355988652</v>
      </c>
      <c r="L2105" s="290" t="s">
        <v>9</v>
      </c>
      <c r="M2105" s="419"/>
      <c r="N2105" s="420"/>
      <c r="O2105"/>
      <c r="P2105" s="412"/>
      <c r="Q2105" s="391"/>
      <c r="R2105" s="393"/>
    </row>
    <row r="2106" spans="1:21" ht="30" customHeight="1" thickBot="1" x14ac:dyDescent="0.3">
      <c r="A2106" s="20"/>
      <c r="B2106" s="503"/>
      <c r="C2106" s="504"/>
      <c r="D2106" s="505"/>
      <c r="E2106" s="465"/>
      <c r="F2106" s="763"/>
      <c r="G2106" s="465"/>
      <c r="H2106" s="764"/>
      <c r="I2106" s="18"/>
      <c r="J2106" s="185" t="s">
        <v>358</v>
      </c>
      <c r="K2106" s="305">
        <f>+K2105</f>
        <v>286.15373355988652</v>
      </c>
      <c r="L2106" s="290" t="s">
        <v>9</v>
      </c>
      <c r="M2106" s="419"/>
      <c r="N2106" s="420"/>
      <c r="O2106"/>
      <c r="P2106" s="412"/>
      <c r="Q2106" s="391"/>
      <c r="R2106" s="393"/>
    </row>
    <row r="2107" spans="1:21" ht="30" customHeight="1" thickBot="1" x14ac:dyDescent="0.3">
      <c r="A2107" s="76"/>
      <c r="B2107" s="77"/>
      <c r="C2107" s="77"/>
      <c r="D2107" s="77"/>
      <c r="E2107" s="77"/>
      <c r="F2107" s="77"/>
      <c r="G2107" s="77"/>
      <c r="H2107" s="77"/>
      <c r="I2107" s="77"/>
      <c r="J2107" s="77"/>
      <c r="K2107" s="77"/>
      <c r="L2107" s="78"/>
      <c r="M2107" s="419"/>
      <c r="N2107" s="420"/>
      <c r="O2107"/>
      <c r="P2107" s="412"/>
      <c r="Q2107" s="391"/>
      <c r="R2107" s="393"/>
    </row>
    <row r="2108" spans="1:21" ht="30" customHeight="1" x14ac:dyDescent="0.25">
      <c r="A2108" s="207" t="s">
        <v>288</v>
      </c>
      <c r="B2108" s="208">
        <v>3121</v>
      </c>
      <c r="C2108" s="282" t="s">
        <v>1629</v>
      </c>
      <c r="D2108" s="283"/>
      <c r="E2108" s="177" t="s">
        <v>291</v>
      </c>
      <c r="F2108" s="178" t="s">
        <v>9</v>
      </c>
      <c r="G2108" s="123" t="s">
        <v>375</v>
      </c>
      <c r="H2108" s="302">
        <v>12475</v>
      </c>
      <c r="I2108" s="177" t="s">
        <v>292</v>
      </c>
      <c r="J2108" s="38" t="s">
        <v>1624</v>
      </c>
      <c r="K2108" s="39"/>
      <c r="L2108" s="40"/>
      <c r="M2108" s="419"/>
      <c r="N2108" s="420"/>
      <c r="O2108"/>
      <c r="P2108" s="412"/>
      <c r="Q2108" s="391"/>
      <c r="R2108" s="393"/>
    </row>
    <row r="2109" spans="1:21" ht="30" customHeight="1" x14ac:dyDescent="0.25">
      <c r="A2109" s="181" t="s">
        <v>517</v>
      </c>
      <c r="B2109" s="180" t="s">
        <v>295</v>
      </c>
      <c r="C2109" s="180"/>
      <c r="D2109" s="180"/>
      <c r="E2109" s="285" t="s">
        <v>519</v>
      </c>
      <c r="F2109" s="181" t="s">
        <v>518</v>
      </c>
      <c r="G2109" s="665" t="s">
        <v>2</v>
      </c>
      <c r="H2109" s="666"/>
      <c r="I2109" s="286" t="s">
        <v>520</v>
      </c>
      <c r="J2109" s="287"/>
      <c r="K2109" s="288" t="s">
        <v>521</v>
      </c>
      <c r="L2109" s="289"/>
      <c r="M2109" s="670"/>
      <c r="N2109" s="671"/>
      <c r="O2109" s="43"/>
      <c r="P2109" s="672"/>
      <c r="Q2109" s="671"/>
      <c r="R2109" s="673"/>
    </row>
    <row r="2110" spans="1:21" ht="30" customHeight="1" x14ac:dyDescent="0.25">
      <c r="A2110" s="20">
        <v>31010</v>
      </c>
      <c r="B2110" s="503" t="s">
        <v>1625</v>
      </c>
      <c r="C2110" s="504"/>
      <c r="D2110" s="505"/>
      <c r="E2110" s="405">
        <v>247</v>
      </c>
      <c r="F2110" s="729">
        <v>9000</v>
      </c>
      <c r="G2110" s="680" t="s">
        <v>9</v>
      </c>
      <c r="H2110" s="680"/>
      <c r="I2110" s="1109">
        <f>+'MILCON Inflation Table'!F8</f>
        <v>1.2318227593152065</v>
      </c>
      <c r="J2110" s="1110"/>
      <c r="K2110" s="304">
        <f>+E2110*I2110</f>
        <v>304.26022155085599</v>
      </c>
      <c r="L2110" s="290" t="s">
        <v>9</v>
      </c>
      <c r="M2110" s="670"/>
      <c r="N2110" s="671"/>
      <c r="O2110" s="43"/>
      <c r="P2110" s="672"/>
      <c r="Q2110" s="671"/>
      <c r="R2110" s="673"/>
    </row>
    <row r="2111" spans="1:21" ht="30" customHeight="1" x14ac:dyDescent="0.25">
      <c r="A2111" s="20">
        <v>21110</v>
      </c>
      <c r="B2111" s="402" t="s">
        <v>1630</v>
      </c>
      <c r="C2111" s="403"/>
      <c r="D2111" s="404"/>
      <c r="E2111" s="405">
        <v>312</v>
      </c>
      <c r="F2111" s="729">
        <v>54000</v>
      </c>
      <c r="G2111" s="680" t="s">
        <v>9</v>
      </c>
      <c r="H2111" s="680"/>
      <c r="I2111" s="295">
        <f>+'MILCON Inflation Table'!F17</f>
        <v>0.9432470865927236</v>
      </c>
      <c r="J2111" s="296"/>
      <c r="K2111" s="304">
        <f>+E2111*I2111</f>
        <v>294.29309101692979</v>
      </c>
      <c r="L2111" s="290" t="s">
        <v>9</v>
      </c>
      <c r="M2111" s="419"/>
      <c r="N2111" s="420"/>
      <c r="O2111"/>
      <c r="P2111" s="412"/>
      <c r="Q2111" s="391"/>
      <c r="R2111" s="393"/>
    </row>
    <row r="2112" spans="1:21" ht="30" customHeight="1" x14ac:dyDescent="0.25">
      <c r="A2112" s="20">
        <v>21120</v>
      </c>
      <c r="B2112" s="402" t="s">
        <v>1627</v>
      </c>
      <c r="C2112" s="403"/>
      <c r="D2112" s="404"/>
      <c r="E2112" s="405">
        <v>267.67</v>
      </c>
      <c r="F2112" s="729">
        <v>32000</v>
      </c>
      <c r="G2112" s="680" t="s">
        <v>9</v>
      </c>
      <c r="H2112" s="680"/>
      <c r="I2112" s="295">
        <f>+'MILCON Inflation Table'!F13</f>
        <v>1.0397823869432166</v>
      </c>
      <c r="J2112" s="296"/>
      <c r="K2112" s="304">
        <f>+E2112*I2112</f>
        <v>278.31855151309077</v>
      </c>
      <c r="L2112" s="290" t="s">
        <v>9</v>
      </c>
      <c r="N2112" s="342"/>
      <c r="O2112" s="42"/>
      <c r="P2112" s="41"/>
      <c r="Q2112" s="41"/>
      <c r="R2112" s="41"/>
      <c r="S2112" s="41"/>
      <c r="T2112" s="41"/>
      <c r="U2112" s="43"/>
    </row>
    <row r="2113" spans="1:21" ht="30" customHeight="1" x14ac:dyDescent="0.25">
      <c r="A2113" s="20">
        <v>21210</v>
      </c>
      <c r="B2113" s="402" t="s">
        <v>1631</v>
      </c>
      <c r="C2113" s="403"/>
      <c r="D2113" s="404"/>
      <c r="E2113" s="405">
        <v>208</v>
      </c>
      <c r="F2113" s="729">
        <v>10300</v>
      </c>
      <c r="G2113" s="680" t="s">
        <v>9</v>
      </c>
      <c r="H2113" s="680"/>
      <c r="I2113" s="1109">
        <f>+'MILCON Inflation Table'!F8</f>
        <v>1.2318227593152065</v>
      </c>
      <c r="J2113" s="1110"/>
      <c r="K2113" s="304">
        <f>+E2113*I2113</f>
        <v>256.21913393756296</v>
      </c>
      <c r="L2113" s="290" t="s">
        <v>9</v>
      </c>
      <c r="N2113" s="342"/>
      <c r="O2113" s="42"/>
      <c r="P2113" s="41"/>
      <c r="Q2113" s="41"/>
      <c r="R2113" s="41"/>
      <c r="S2113" s="41"/>
      <c r="T2113" s="41"/>
      <c r="U2113" s="43"/>
    </row>
    <row r="2114" spans="1:21" s="41" customFormat="1" ht="30" customHeight="1" x14ac:dyDescent="0.25">
      <c r="A2114" s="20"/>
      <c r="B2114" s="919"/>
      <c r="C2114" s="920"/>
      <c r="D2114" s="750"/>
      <c r="E2114" s="682"/>
      <c r="F2114" s="1124"/>
      <c r="G2114" s="1125"/>
      <c r="H2114" s="1126"/>
      <c r="I2114" s="1127"/>
      <c r="J2114" s="1128" t="s">
        <v>536</v>
      </c>
      <c r="K2114" s="304">
        <f>AVERAGE(K2110:K2113)</f>
        <v>283.27274950460986</v>
      </c>
      <c r="L2114" s="290" t="s">
        <v>9</v>
      </c>
      <c r="M2114" s="341"/>
      <c r="N2114" s="342"/>
      <c r="O2114" s="42"/>
    </row>
    <row r="2115" spans="1:21" s="49" customFormat="1" ht="30" customHeight="1" thickBot="1" x14ac:dyDescent="0.3">
      <c r="A2115" s="20"/>
      <c r="B2115" s="503"/>
      <c r="C2115" s="504"/>
      <c r="D2115" s="505"/>
      <c r="E2115" s="465"/>
      <c r="F2115" s="763"/>
      <c r="G2115" s="465"/>
      <c r="H2115" s="764"/>
      <c r="I2115" s="18"/>
      <c r="J2115" s="185" t="s">
        <v>358</v>
      </c>
      <c r="K2115" s="305">
        <f>AVERAGE(K2110:K2113)</f>
        <v>283.27274950460986</v>
      </c>
      <c r="L2115" s="290" t="s">
        <v>9</v>
      </c>
      <c r="M2115" s="502"/>
      <c r="N2115" s="1894"/>
      <c r="O2115" s="27"/>
    </row>
    <row r="2116" spans="1:21" s="41" customFormat="1" ht="30" customHeight="1" thickBot="1" x14ac:dyDescent="0.3">
      <c r="A2116" s="76"/>
      <c r="B2116" s="77"/>
      <c r="C2116" s="77"/>
      <c r="D2116" s="77"/>
      <c r="E2116" s="77"/>
      <c r="F2116" s="77"/>
      <c r="G2116" s="77"/>
      <c r="H2116" s="77"/>
      <c r="I2116" s="77"/>
      <c r="J2116" s="77"/>
      <c r="K2116" s="77"/>
      <c r="L2116" s="78"/>
      <c r="M2116" s="341"/>
      <c r="N2116" s="25"/>
      <c r="O2116" s="27"/>
      <c r="P2116"/>
      <c r="Q2116"/>
      <c r="R2116"/>
      <c r="S2116"/>
      <c r="T2116"/>
    </row>
    <row r="2117" spans="1:21" s="41" customFormat="1" ht="30" customHeight="1" x14ac:dyDescent="0.25">
      <c r="A2117" s="306" t="s">
        <v>288</v>
      </c>
      <c r="B2117" s="307">
        <v>3131</v>
      </c>
      <c r="C2117" s="1129" t="s">
        <v>1632</v>
      </c>
      <c r="D2117" s="1129"/>
      <c r="E2117" s="310" t="s">
        <v>291</v>
      </c>
      <c r="F2117" s="311" t="s">
        <v>9</v>
      </c>
      <c r="G2117" s="123" t="s">
        <v>375</v>
      </c>
      <c r="H2117" s="954">
        <v>27320</v>
      </c>
      <c r="I2117" s="310" t="s">
        <v>292</v>
      </c>
      <c r="J2117" s="38" t="s">
        <v>883</v>
      </c>
      <c r="K2117" s="38"/>
      <c r="L2117" s="389"/>
      <c r="M2117" s="341"/>
      <c r="N2117" s="25"/>
      <c r="O2117" s="27"/>
      <c r="P2117"/>
      <c r="Q2117"/>
      <c r="R2117"/>
      <c r="S2117"/>
      <c r="T2117"/>
    </row>
    <row r="2118" spans="1:21" s="41" customFormat="1" ht="30" customHeight="1" x14ac:dyDescent="0.25">
      <c r="A2118" s="695" t="s">
        <v>529</v>
      </c>
      <c r="B2118" s="883" t="s">
        <v>560</v>
      </c>
      <c r="C2118" s="884"/>
      <c r="D2118" s="885"/>
      <c r="E2118" s="1130" t="s">
        <v>519</v>
      </c>
      <c r="F2118" s="1130" t="s">
        <v>561</v>
      </c>
      <c r="G2118" s="507" t="s">
        <v>562</v>
      </c>
      <c r="H2118" s="508"/>
      <c r="I2118" s="1131" t="s">
        <v>1347</v>
      </c>
      <c r="J2118" s="424" t="s">
        <v>530</v>
      </c>
      <c r="K2118" s="1840" t="s">
        <v>521</v>
      </c>
      <c r="L2118" s="1840"/>
      <c r="M2118" s="341"/>
      <c r="N2118" s="25"/>
      <c r="O2118" s="27"/>
      <c r="P2118"/>
      <c r="Q2118"/>
      <c r="R2118"/>
      <c r="S2118"/>
      <c r="T2118"/>
    </row>
    <row r="2119" spans="1:21" ht="30" customHeight="1" x14ac:dyDescent="0.25">
      <c r="A2119" s="24" t="s">
        <v>1311</v>
      </c>
      <c r="B2119" s="346" t="s">
        <v>1633</v>
      </c>
      <c r="C2119" s="347"/>
      <c r="D2119" s="348"/>
      <c r="E2119" s="326">
        <v>90.12</v>
      </c>
      <c r="F2119" s="24" t="s">
        <v>9</v>
      </c>
      <c r="G2119" s="1132"/>
      <c r="H2119" s="1133"/>
      <c r="I2119" s="1134">
        <f>+E2119</f>
        <v>90.12</v>
      </c>
      <c r="J2119" s="10">
        <v>1.06</v>
      </c>
      <c r="K2119" s="887">
        <f>+I2119*J2119</f>
        <v>95.527200000000008</v>
      </c>
      <c r="L2119" s="826" t="s">
        <v>9</v>
      </c>
      <c r="P2119" s="43"/>
      <c r="Q2119" s="43"/>
      <c r="R2119" s="43"/>
      <c r="S2119" s="60"/>
      <c r="T2119" s="60"/>
    </row>
    <row r="2120" spans="1:21" ht="30" customHeight="1" x14ac:dyDescent="0.25">
      <c r="A2120" s="24" t="s">
        <v>644</v>
      </c>
      <c r="B2120" s="346" t="s">
        <v>1634</v>
      </c>
      <c r="C2120" s="347"/>
      <c r="D2120" s="348"/>
      <c r="E2120" s="364">
        <v>3.53</v>
      </c>
      <c r="F2120" s="24" t="s">
        <v>9</v>
      </c>
      <c r="G2120" s="1137"/>
      <c r="H2120" s="1138"/>
      <c r="I2120" s="1139">
        <f>+E2120</f>
        <v>3.53</v>
      </c>
      <c r="J2120" s="10">
        <v>1.06</v>
      </c>
      <c r="K2120" s="887">
        <f t="shared" ref="K2120:K2129" si="38">+I2120*J2120</f>
        <v>3.7418</v>
      </c>
      <c r="L2120" s="826" t="s">
        <v>9</v>
      </c>
      <c r="M2120" s="43"/>
      <c r="P2120" s="43"/>
      <c r="Q2120" s="43"/>
      <c r="R2120" s="43"/>
      <c r="S2120" s="60"/>
      <c r="T2120" s="60"/>
    </row>
    <row r="2121" spans="1:21" ht="30" customHeight="1" x14ac:dyDescent="0.25">
      <c r="A2121" s="24" t="s">
        <v>760</v>
      </c>
      <c r="B2121" s="346" t="s">
        <v>1635</v>
      </c>
      <c r="C2121" s="347"/>
      <c r="D2121" s="348"/>
      <c r="E2121" s="326">
        <v>166000</v>
      </c>
      <c r="F2121" s="1140" t="s">
        <v>11</v>
      </c>
      <c r="G2121" s="1141">
        <f>+E2121/H2117</f>
        <v>6.0761346998535872</v>
      </c>
      <c r="H2121" s="1138" t="s">
        <v>1353</v>
      </c>
      <c r="I2121" s="1139">
        <f>+E2121/H2117</f>
        <v>6.0761346998535872</v>
      </c>
      <c r="J2121" s="10">
        <v>1.02</v>
      </c>
      <c r="K2121" s="887">
        <f t="shared" si="38"/>
        <v>6.1976573938506592</v>
      </c>
      <c r="L2121" s="826" t="s">
        <v>9</v>
      </c>
      <c r="N2121" s="342"/>
      <c r="O2121" s="42"/>
      <c r="P2121" s="41"/>
      <c r="Q2121" s="41"/>
      <c r="R2121" s="41"/>
      <c r="S2121" s="41"/>
      <c r="T2121" s="41"/>
      <c r="U2121" s="43"/>
    </row>
    <row r="2122" spans="1:21" ht="30" customHeight="1" x14ac:dyDescent="0.25">
      <c r="A2122" s="24" t="s">
        <v>760</v>
      </c>
      <c r="B2122" s="346" t="s">
        <v>1636</v>
      </c>
      <c r="C2122" s="347"/>
      <c r="D2122" s="348"/>
      <c r="E2122" s="326">
        <f>+(228+250)/2</f>
        <v>239</v>
      </c>
      <c r="F2122" s="1140" t="s">
        <v>7</v>
      </c>
      <c r="G2122" s="7">
        <f>344/H2117</f>
        <v>1.2591508052708639E-2</v>
      </c>
      <c r="H2122" s="1138" t="s">
        <v>1353</v>
      </c>
      <c r="I2122" s="1139">
        <f>+E2122*G2122</f>
        <v>3.0093704245973649</v>
      </c>
      <c r="J2122" s="10">
        <v>1.02</v>
      </c>
      <c r="K2122" s="887">
        <f t="shared" si="38"/>
        <v>3.0695578330893123</v>
      </c>
      <c r="L2122" s="826" t="s">
        <v>9</v>
      </c>
      <c r="N2122" s="342"/>
      <c r="O2122" s="42"/>
      <c r="P2122" s="41"/>
      <c r="Q2122" s="41"/>
      <c r="R2122" s="41"/>
      <c r="S2122" s="41"/>
      <c r="T2122" s="41"/>
      <c r="U2122" s="43"/>
    </row>
    <row r="2123" spans="1:21" s="41" customFormat="1" ht="30" customHeight="1" x14ac:dyDescent="0.25">
      <c r="A2123" s="24" t="s">
        <v>760</v>
      </c>
      <c r="B2123" s="346" t="s">
        <v>1557</v>
      </c>
      <c r="C2123" s="347"/>
      <c r="D2123" s="348"/>
      <c r="E2123" s="326">
        <f>+(22.2+44.75)/2</f>
        <v>33.475000000000001</v>
      </c>
      <c r="F2123" s="1140" t="s">
        <v>7</v>
      </c>
      <c r="G2123" s="1141">
        <f>344/H2117</f>
        <v>1.2591508052708639E-2</v>
      </c>
      <c r="H2123" s="1138" t="s">
        <v>1353</v>
      </c>
      <c r="I2123" s="1139">
        <f>+E2123*G2123</f>
        <v>0.42150073206442173</v>
      </c>
      <c r="J2123" s="10">
        <v>1.02</v>
      </c>
      <c r="K2123" s="887">
        <f t="shared" si="38"/>
        <v>0.42993074670571019</v>
      </c>
      <c r="L2123" s="826" t="s">
        <v>9</v>
      </c>
      <c r="M2123" s="1934"/>
      <c r="N2123" s="1934"/>
      <c r="O2123" s="42"/>
    </row>
    <row r="2124" spans="1:21" s="49" customFormat="1" ht="30" customHeight="1" x14ac:dyDescent="0.25">
      <c r="A2124" s="24" t="s">
        <v>664</v>
      </c>
      <c r="B2124" s="138" t="s">
        <v>1637</v>
      </c>
      <c r="C2124" s="139"/>
      <c r="D2124" s="140"/>
      <c r="E2124" s="887">
        <v>23.88</v>
      </c>
      <c r="F2124" s="1140" t="s">
        <v>666</v>
      </c>
      <c r="G2124" s="1142">
        <f>3*81*E2124/H2117</f>
        <v>0.21240263543191801</v>
      </c>
      <c r="H2124" s="1138" t="s">
        <v>1353</v>
      </c>
      <c r="I2124" s="1139">
        <f>+G2124</f>
        <v>0.21240263543191801</v>
      </c>
      <c r="J2124" s="10">
        <v>1.02</v>
      </c>
      <c r="K2124" s="887">
        <f t="shared" si="38"/>
        <v>0.21665068814055638</v>
      </c>
      <c r="L2124" s="826" t="s">
        <v>9</v>
      </c>
      <c r="M2124" s="1934"/>
      <c r="N2124" s="1934"/>
      <c r="O2124" s="27"/>
    </row>
    <row r="2125" spans="1:21" s="41" customFormat="1" ht="30" customHeight="1" x14ac:dyDescent="0.25">
      <c r="A2125" s="24" t="s">
        <v>664</v>
      </c>
      <c r="B2125" s="138" t="s">
        <v>1638</v>
      </c>
      <c r="C2125" s="139"/>
      <c r="D2125" s="140"/>
      <c r="E2125" s="887">
        <v>1905</v>
      </c>
      <c r="F2125" s="1140" t="s">
        <v>11</v>
      </c>
      <c r="G2125" s="1142">
        <f>3*E2125/H2117</f>
        <v>0.20918740849194728</v>
      </c>
      <c r="H2125" s="1138" t="s">
        <v>1353</v>
      </c>
      <c r="I2125" s="1139">
        <f>+G2125</f>
        <v>0.20918740849194728</v>
      </c>
      <c r="J2125" s="10">
        <v>1.02</v>
      </c>
      <c r="K2125" s="887">
        <f t="shared" si="38"/>
        <v>0.21337115666178622</v>
      </c>
      <c r="L2125" s="826" t="s">
        <v>9</v>
      </c>
      <c r="M2125" s="1933"/>
      <c r="N2125" s="1934"/>
      <c r="O2125" s="27"/>
      <c r="P2125"/>
      <c r="Q2125"/>
      <c r="R2125"/>
      <c r="S2125"/>
      <c r="T2125"/>
    </row>
    <row r="2126" spans="1:21" s="41" customFormat="1" ht="30" customHeight="1" x14ac:dyDescent="0.25">
      <c r="A2126" s="24" t="s">
        <v>668</v>
      </c>
      <c r="B2126" s="138" t="s">
        <v>1639</v>
      </c>
      <c r="C2126" s="139"/>
      <c r="D2126" s="140"/>
      <c r="E2126" s="887">
        <f>+(31.5+75)/2</f>
        <v>53.25</v>
      </c>
      <c r="F2126" s="1140" t="s">
        <v>7</v>
      </c>
      <c r="G2126" s="1137">
        <v>30</v>
      </c>
      <c r="H2126" s="1138" t="s">
        <v>1528</v>
      </c>
      <c r="I2126" s="1139">
        <f>+E2126*G2126/H2117</f>
        <v>5.8473645680819912E-2</v>
      </c>
      <c r="J2126" s="10">
        <v>1.04</v>
      </c>
      <c r="K2126" s="887">
        <f t="shared" si="38"/>
        <v>6.081259150805271E-2</v>
      </c>
      <c r="L2126" s="826" t="s">
        <v>9</v>
      </c>
      <c r="M2126" s="341"/>
      <c r="N2126" s="25"/>
      <c r="O2126" s="27"/>
      <c r="P2126"/>
      <c r="Q2126"/>
      <c r="R2126"/>
      <c r="S2126"/>
      <c r="T2126"/>
    </row>
    <row r="2127" spans="1:21" s="41" customFormat="1" ht="30" customHeight="1" x14ac:dyDescent="0.25">
      <c r="A2127" s="24" t="s">
        <v>668</v>
      </c>
      <c r="B2127" s="138" t="s">
        <v>1640</v>
      </c>
      <c r="C2127" s="139"/>
      <c r="D2127" s="140"/>
      <c r="E2127" s="887">
        <f>+(5900+11300)/2</f>
        <v>8600</v>
      </c>
      <c r="F2127" s="1140" t="s">
        <v>11</v>
      </c>
      <c r="G2127" s="1137">
        <v>3</v>
      </c>
      <c r="H2127" s="1138" t="s">
        <v>1353</v>
      </c>
      <c r="I2127" s="1139">
        <f>+E2127*3/H2117</f>
        <v>0.94436310395314793</v>
      </c>
      <c r="J2127" s="10">
        <v>1.04</v>
      </c>
      <c r="K2127" s="887">
        <f t="shared" si="38"/>
        <v>0.98213762811127392</v>
      </c>
      <c r="L2127" s="826" t="s">
        <v>9</v>
      </c>
      <c r="M2127" s="341"/>
      <c r="N2127" s="25"/>
      <c r="O2127" s="27"/>
      <c r="P2127"/>
      <c r="Q2127"/>
      <c r="R2127"/>
      <c r="S2127"/>
      <c r="T2127"/>
    </row>
    <row r="2128" spans="1:21" ht="30" customHeight="1" x14ac:dyDescent="0.25">
      <c r="A2128" s="24" t="s">
        <v>668</v>
      </c>
      <c r="B2128" s="138" t="s">
        <v>1641</v>
      </c>
      <c r="C2128" s="139"/>
      <c r="D2128" s="140"/>
      <c r="E2128" s="622">
        <f>+(605+925)/2</f>
        <v>765</v>
      </c>
      <c r="F2128" s="1140" t="s">
        <v>11</v>
      </c>
      <c r="G2128" s="1137">
        <v>3</v>
      </c>
      <c r="H2128" s="1138" t="s">
        <v>1353</v>
      </c>
      <c r="I2128" s="1139">
        <f>+E2128*3/H2117</f>
        <v>8.4004392386530014E-2</v>
      </c>
      <c r="J2128" s="10">
        <v>1.04</v>
      </c>
      <c r="K2128" s="887">
        <f t="shared" si="38"/>
        <v>8.7364568081991223E-2</v>
      </c>
      <c r="L2128" s="826" t="s">
        <v>9</v>
      </c>
      <c r="P2128" s="43"/>
      <c r="Q2128" s="43"/>
      <c r="R2128" s="43"/>
      <c r="S2128" s="60"/>
      <c r="T2128" s="60"/>
    </row>
    <row r="2129" spans="1:20" ht="30" customHeight="1" x14ac:dyDescent="0.25">
      <c r="A2129" s="24" t="s">
        <v>668</v>
      </c>
      <c r="B2129" s="138" t="s">
        <v>1642</v>
      </c>
      <c r="C2129" s="139"/>
      <c r="D2129" s="140"/>
      <c r="E2129" s="887">
        <f>+(1060+3175)/2</f>
        <v>2117.5</v>
      </c>
      <c r="F2129" s="1140" t="s">
        <v>11</v>
      </c>
      <c r="G2129" s="1137">
        <v>3</v>
      </c>
      <c r="H2129" s="1138" t="s">
        <v>1353</v>
      </c>
      <c r="I2129" s="1139">
        <f>+E2129*3/H2117</f>
        <v>0.23252196193265007</v>
      </c>
      <c r="J2129" s="10">
        <v>1.04</v>
      </c>
      <c r="K2129" s="887">
        <f t="shared" si="38"/>
        <v>0.24182284040995608</v>
      </c>
      <c r="L2129" s="826" t="s">
        <v>9</v>
      </c>
      <c r="M2129" s="43"/>
      <c r="P2129" s="43"/>
      <c r="Q2129" s="43"/>
      <c r="R2129" s="43"/>
      <c r="S2129" s="60"/>
      <c r="T2129" s="60"/>
    </row>
    <row r="2130" spans="1:20" ht="30" customHeight="1" x14ac:dyDescent="0.25">
      <c r="A2130" s="24"/>
      <c r="B2130" s="574"/>
      <c r="C2130" s="574"/>
      <c r="D2130" s="574"/>
      <c r="E2130" s="887"/>
      <c r="F2130" s="24"/>
      <c r="G2130" s="1143"/>
      <c r="H2130" s="889"/>
      <c r="I2130" s="889"/>
      <c r="J2130" s="24" t="s">
        <v>646</v>
      </c>
      <c r="K2130" s="887">
        <f>SUM(K2119:K2129)</f>
        <v>110.76830544655931</v>
      </c>
      <c r="L2130" s="826" t="s">
        <v>9</v>
      </c>
      <c r="M2130" s="1274"/>
      <c r="N2130" s="671"/>
      <c r="O2130"/>
      <c r="P2130" s="412"/>
      <c r="Q2130" s="391"/>
      <c r="R2130" s="393"/>
    </row>
    <row r="2131" spans="1:20" ht="30" customHeight="1" x14ac:dyDescent="0.25">
      <c r="A2131" s="61"/>
      <c r="B2131" s="498"/>
      <c r="C2131" s="498"/>
      <c r="D2131" s="498"/>
      <c r="E2131" s="498"/>
      <c r="F2131" s="676" t="s">
        <v>533</v>
      </c>
      <c r="G2131" s="1144" t="s">
        <v>534</v>
      </c>
      <c r="H2131" s="1145"/>
      <c r="I2131" s="1145"/>
      <c r="J2131" s="1146"/>
      <c r="K2131" s="340">
        <v>1.0900000000000001</v>
      </c>
      <c r="L2131" s="24"/>
      <c r="M2131" s="1906"/>
      <c r="N2131" s="671"/>
      <c r="O2131"/>
      <c r="P2131" s="412"/>
      <c r="Q2131" s="391"/>
      <c r="R2131" s="393"/>
    </row>
    <row r="2132" spans="1:20" ht="30" customHeight="1" x14ac:dyDescent="0.25">
      <c r="A2132" s="61"/>
      <c r="B2132" s="498"/>
      <c r="C2132" s="498"/>
      <c r="D2132" s="498"/>
      <c r="E2132" s="498"/>
      <c r="F2132" s="678"/>
      <c r="G2132" s="1147" t="s">
        <v>535</v>
      </c>
      <c r="H2132" s="1148"/>
      <c r="I2132" s="1148"/>
      <c r="J2132" s="1149"/>
      <c r="K2132" s="340">
        <v>1.02</v>
      </c>
      <c r="L2132" s="24"/>
      <c r="M2132" s="671"/>
      <c r="O2132" s="412"/>
      <c r="P2132" s="391"/>
      <c r="Q2132" s="393"/>
    </row>
    <row r="2133" spans="1:20" s="49" customFormat="1" ht="30" customHeight="1" x14ac:dyDescent="0.25">
      <c r="A2133" s="1150"/>
      <c r="B2133" s="1151"/>
      <c r="C2133" s="1152"/>
      <c r="D2133" s="1152"/>
      <c r="E2133" s="1152"/>
      <c r="F2133" s="1152"/>
      <c r="G2133" s="1152"/>
      <c r="H2133" s="1153"/>
      <c r="I2133" s="64"/>
      <c r="J2133" s="24" t="s">
        <v>358</v>
      </c>
      <c r="K2133" s="17">
        <f>+K2130*K2131/K2132</f>
        <v>118.37005189877418</v>
      </c>
      <c r="L2133" s="826" t="s">
        <v>9</v>
      </c>
      <c r="M2133" s="671"/>
      <c r="N2133" s="502"/>
      <c r="O2133" s="412"/>
      <c r="P2133" s="391"/>
      <c r="Q2133" s="393"/>
    </row>
    <row r="2134" spans="1:20" ht="30" customHeight="1" x14ac:dyDescent="0.25">
      <c r="A2134" s="1150"/>
      <c r="B2134" s="1154"/>
      <c r="C2134" s="1155"/>
      <c r="D2134" s="1155"/>
      <c r="E2134" s="1155"/>
      <c r="F2134" s="1155"/>
      <c r="H2134" s="64"/>
      <c r="I2134" s="1156" t="s">
        <v>652</v>
      </c>
      <c r="J2134" s="447">
        <f>VLOOKUP(B2117,'Mil Cost Premiums for RUCs'!$A$4:$R$265,18,FALSE)</f>
        <v>1.3319480854780448</v>
      </c>
      <c r="K2134" s="17">
        <f>+K2133*J2134</f>
        <v>157.66276400450906</v>
      </c>
      <c r="L2134" s="826" t="s">
        <v>9</v>
      </c>
      <c r="M2134" s="671"/>
      <c r="O2134" s="412"/>
      <c r="P2134" s="391"/>
      <c r="Q2134" s="393"/>
    </row>
    <row r="2135" spans="1:20" ht="75" customHeight="1" x14ac:dyDescent="0.25">
      <c r="A2135" s="580" t="s">
        <v>538</v>
      </c>
      <c r="B2135" s="532"/>
      <c r="C2135" s="532"/>
      <c r="D2135" s="532"/>
      <c r="E2135" s="532"/>
      <c r="F2135" s="532"/>
      <c r="G2135" s="532"/>
      <c r="H2135" s="532"/>
      <c r="I2135" s="532"/>
      <c r="J2135" s="532"/>
      <c r="K2135" s="532"/>
      <c r="L2135" s="532"/>
      <c r="M2135" s="1907"/>
      <c r="O2135" s="412"/>
      <c r="P2135" s="391"/>
      <c r="Q2135" s="393"/>
    </row>
    <row r="2136" spans="1:20" ht="30" customHeight="1" x14ac:dyDescent="0.25">
      <c r="A2136" s="1044" t="s">
        <v>539</v>
      </c>
      <c r="B2136" s="1045"/>
      <c r="C2136" s="1046"/>
      <c r="D2136" s="386" t="s">
        <v>1643</v>
      </c>
      <c r="E2136" s="849"/>
      <c r="F2136" s="849"/>
      <c r="G2136" s="849"/>
      <c r="H2136" s="849"/>
      <c r="I2136" s="849"/>
      <c r="J2136" s="849"/>
      <c r="K2136" s="849"/>
      <c r="L2136" s="849"/>
      <c r="M2136" s="1907"/>
      <c r="O2136" s="412"/>
      <c r="P2136" s="391"/>
      <c r="Q2136" s="393"/>
    </row>
    <row r="2137" spans="1:20" ht="30" customHeight="1" x14ac:dyDescent="0.25">
      <c r="A2137" s="1044" t="s">
        <v>541</v>
      </c>
      <c r="B2137" s="1045"/>
      <c r="C2137" s="1046"/>
      <c r="D2137" s="386" t="s">
        <v>1644</v>
      </c>
      <c r="E2137" s="849"/>
      <c r="F2137" s="849"/>
      <c r="G2137" s="849"/>
      <c r="H2137" s="849"/>
      <c r="I2137" s="849"/>
      <c r="J2137" s="849"/>
      <c r="K2137" s="849"/>
      <c r="L2137" s="849"/>
      <c r="M2137" s="1907"/>
      <c r="O2137" s="412"/>
      <c r="P2137" s="391"/>
      <c r="Q2137" s="393"/>
    </row>
    <row r="2138" spans="1:20" ht="30" customHeight="1" x14ac:dyDescent="0.25">
      <c r="A2138" s="1044" t="s">
        <v>543</v>
      </c>
      <c r="B2138" s="1045"/>
      <c r="C2138" s="1046"/>
      <c r="D2138" s="386" t="s">
        <v>1645</v>
      </c>
      <c r="E2138" s="849"/>
      <c r="F2138" s="849"/>
      <c r="G2138" s="849"/>
      <c r="H2138" s="849"/>
      <c r="I2138" s="849"/>
      <c r="J2138" s="849"/>
      <c r="K2138" s="849"/>
      <c r="L2138" s="849"/>
      <c r="M2138" s="1907"/>
      <c r="O2138" s="412"/>
      <c r="P2138" s="391"/>
      <c r="Q2138" s="393"/>
    </row>
    <row r="2139" spans="1:20" ht="30" customHeight="1" x14ac:dyDescent="0.25">
      <c r="A2139" s="1044" t="s">
        <v>546</v>
      </c>
      <c r="B2139" s="1045"/>
      <c r="C2139" s="1046"/>
      <c r="D2139" s="386" t="s">
        <v>1646</v>
      </c>
      <c r="E2139" s="849"/>
      <c r="F2139" s="849"/>
      <c r="G2139" s="849"/>
      <c r="H2139" s="849"/>
      <c r="I2139" s="849"/>
      <c r="J2139" s="849"/>
      <c r="K2139" s="849"/>
      <c r="L2139" s="849"/>
      <c r="M2139" s="1907"/>
      <c r="O2139" s="412"/>
      <c r="P2139" s="391"/>
      <c r="Q2139" s="393"/>
    </row>
    <row r="2140" spans="1:20" ht="75" customHeight="1" x14ac:dyDescent="0.25">
      <c r="A2140" s="1044" t="s">
        <v>548</v>
      </c>
      <c r="B2140" s="1045"/>
      <c r="C2140" s="1046"/>
      <c r="D2140" s="386" t="s">
        <v>1647</v>
      </c>
      <c r="E2140" s="849"/>
      <c r="F2140" s="849"/>
      <c r="G2140" s="849"/>
      <c r="H2140" s="849"/>
      <c r="I2140" s="849"/>
      <c r="J2140" s="849"/>
      <c r="K2140" s="849"/>
      <c r="L2140" s="849"/>
      <c r="M2140" s="1907"/>
      <c r="O2140" s="412"/>
      <c r="P2140" s="391"/>
      <c r="Q2140" s="393"/>
    </row>
    <row r="2141" spans="1:20" ht="30" customHeight="1" x14ac:dyDescent="0.25">
      <c r="A2141" s="1044" t="s">
        <v>550</v>
      </c>
      <c r="B2141" s="1045"/>
      <c r="C2141" s="1046"/>
      <c r="D2141" s="386" t="s">
        <v>1648</v>
      </c>
      <c r="E2141" s="849"/>
      <c r="F2141" s="849"/>
      <c r="G2141" s="849"/>
      <c r="H2141" s="849"/>
      <c r="I2141" s="849"/>
      <c r="J2141" s="849"/>
      <c r="K2141" s="849"/>
      <c r="L2141" s="849"/>
      <c r="M2141" s="1907"/>
      <c r="O2141" s="412"/>
      <c r="P2141" s="391"/>
      <c r="Q2141" s="393"/>
    </row>
    <row r="2142" spans="1:20" ht="30" customHeight="1" x14ac:dyDescent="0.25">
      <c r="A2142" s="1044" t="s">
        <v>552</v>
      </c>
      <c r="B2142" s="1045"/>
      <c r="C2142" s="1046"/>
      <c r="D2142" s="386" t="s">
        <v>1252</v>
      </c>
      <c r="E2142" s="849"/>
      <c r="F2142" s="849"/>
      <c r="G2142" s="849"/>
      <c r="H2142" s="849"/>
      <c r="I2142" s="849"/>
      <c r="J2142" s="849"/>
      <c r="K2142" s="849"/>
      <c r="L2142" s="849"/>
      <c r="M2142" s="1907"/>
      <c r="O2142" s="412"/>
      <c r="P2142" s="391"/>
      <c r="Q2142" s="393"/>
    </row>
    <row r="2143" spans="1:20" ht="75" customHeight="1" x14ac:dyDescent="0.25">
      <c r="A2143" s="1044" t="s">
        <v>553</v>
      </c>
      <c r="B2143" s="1045"/>
      <c r="C2143" s="1046"/>
      <c r="D2143" s="386" t="s">
        <v>660</v>
      </c>
      <c r="E2143" s="849"/>
      <c r="F2143" s="849"/>
      <c r="G2143" s="849"/>
      <c r="H2143" s="849"/>
      <c r="I2143" s="849"/>
      <c r="J2143" s="849"/>
      <c r="K2143" s="849"/>
      <c r="L2143" s="849"/>
      <c r="M2143" s="1907"/>
      <c r="O2143" s="412"/>
      <c r="P2143" s="391"/>
      <c r="Q2143" s="393"/>
    </row>
    <row r="2144" spans="1:20" ht="60" customHeight="1" thickBot="1" x14ac:dyDescent="0.3">
      <c r="A2144" s="1044" t="s">
        <v>556</v>
      </c>
      <c r="B2144" s="1045"/>
      <c r="C2144" s="1046"/>
      <c r="D2144" s="960" t="s">
        <v>1649</v>
      </c>
      <c r="E2144" s="961"/>
      <c r="F2144" s="961"/>
      <c r="G2144" s="961"/>
      <c r="H2144" s="961"/>
      <c r="I2144" s="961"/>
      <c r="J2144" s="961"/>
      <c r="K2144" s="961"/>
      <c r="L2144" s="961"/>
      <c r="M2144" s="1907"/>
      <c r="O2144" s="412"/>
      <c r="P2144" s="391"/>
      <c r="Q2144" s="393"/>
    </row>
    <row r="2145" spans="1:18" ht="30" customHeight="1" thickBot="1" x14ac:dyDescent="0.3">
      <c r="A2145" s="76"/>
      <c r="B2145" s="77"/>
      <c r="C2145" s="77"/>
      <c r="D2145" s="77"/>
      <c r="E2145" s="77"/>
      <c r="F2145" s="77"/>
      <c r="G2145" s="77"/>
      <c r="H2145" s="77"/>
      <c r="I2145" s="77"/>
      <c r="J2145" s="77"/>
      <c r="K2145" s="77"/>
      <c r="L2145" s="78"/>
      <c r="M2145" s="1907"/>
      <c r="O2145" s="412"/>
      <c r="P2145" s="391"/>
      <c r="Q2145" s="393"/>
    </row>
    <row r="2146" spans="1:18" ht="30" customHeight="1" x14ac:dyDescent="0.25">
      <c r="A2146" s="306" t="s">
        <v>288</v>
      </c>
      <c r="B2146" s="418">
        <v>3141</v>
      </c>
      <c r="C2146" s="953" t="s">
        <v>1650</v>
      </c>
      <c r="D2146" s="953"/>
      <c r="E2146" s="540" t="s">
        <v>291</v>
      </c>
      <c r="F2146" s="541" t="s">
        <v>9</v>
      </c>
      <c r="G2146" s="123" t="s">
        <v>375</v>
      </c>
      <c r="H2146" s="954">
        <v>15273</v>
      </c>
      <c r="I2146" s="540" t="s">
        <v>292</v>
      </c>
      <c r="J2146" s="38" t="s">
        <v>883</v>
      </c>
      <c r="K2146" s="38"/>
      <c r="L2146" s="389"/>
      <c r="M2146" s="955"/>
      <c r="N2146" s="671"/>
      <c r="O2146" s="43"/>
      <c r="P2146" s="672"/>
      <c r="Q2146" s="671"/>
      <c r="R2146" s="673"/>
    </row>
    <row r="2147" spans="1:18" ht="30" customHeight="1" x14ac:dyDescent="0.25">
      <c r="A2147" s="695" t="s">
        <v>529</v>
      </c>
      <c r="B2147" s="543" t="s">
        <v>560</v>
      </c>
      <c r="C2147" s="544"/>
      <c r="D2147" s="545"/>
      <c r="E2147" s="546" t="s">
        <v>519</v>
      </c>
      <c r="F2147" s="546" t="s">
        <v>561</v>
      </c>
      <c r="G2147" s="288" t="s">
        <v>562</v>
      </c>
      <c r="H2147" s="289"/>
      <c r="I2147" s="938" t="s">
        <v>1347</v>
      </c>
      <c r="J2147" s="424" t="s">
        <v>530</v>
      </c>
      <c r="K2147" s="288" t="s">
        <v>521</v>
      </c>
      <c r="L2147" s="423"/>
      <c r="M2147" s="955"/>
      <c r="N2147" s="671"/>
      <c r="O2147" s="43"/>
      <c r="P2147" s="672"/>
      <c r="Q2147" s="671"/>
      <c r="R2147" s="673"/>
    </row>
    <row r="2148" spans="1:18" ht="45" customHeight="1" x14ac:dyDescent="0.25">
      <c r="A2148" s="24" t="s">
        <v>1311</v>
      </c>
      <c r="B2148" s="346" t="s">
        <v>1651</v>
      </c>
      <c r="C2148" s="347"/>
      <c r="D2148" s="348"/>
      <c r="E2148" s="326">
        <f>90.12-2.42</f>
        <v>87.7</v>
      </c>
      <c r="F2148" s="10" t="s">
        <v>9</v>
      </c>
      <c r="G2148" s="939"/>
      <c r="H2148" s="698"/>
      <c r="I2148" s="940">
        <f>+E2148</f>
        <v>87.7</v>
      </c>
      <c r="J2148" s="10">
        <v>1.06</v>
      </c>
      <c r="K2148" s="700">
        <f>+I2148*J2148</f>
        <v>92.962000000000003</v>
      </c>
      <c r="L2148" s="965" t="s">
        <v>9</v>
      </c>
      <c r="M2148" s="1907"/>
      <c r="O2148" s="412"/>
      <c r="P2148" s="391"/>
      <c r="Q2148" s="393"/>
    </row>
    <row r="2149" spans="1:18" ht="30" customHeight="1" x14ac:dyDescent="0.25">
      <c r="A2149" s="24" t="s">
        <v>644</v>
      </c>
      <c r="B2149" s="346" t="s">
        <v>1634</v>
      </c>
      <c r="C2149" s="347"/>
      <c r="D2149" s="348"/>
      <c r="E2149" s="364">
        <v>3.53</v>
      </c>
      <c r="F2149" s="10" t="s">
        <v>9</v>
      </c>
      <c r="G2149" s="941"/>
      <c r="H2149" s="922"/>
      <c r="I2149" s="942">
        <f>+E2149</f>
        <v>3.53</v>
      </c>
      <c r="J2149" s="10">
        <v>1.06</v>
      </c>
      <c r="K2149" s="700">
        <f t="shared" ref="K2149:K2158" si="39">+I2149*J2149</f>
        <v>3.7418</v>
      </c>
      <c r="L2149" s="965" t="s">
        <v>9</v>
      </c>
      <c r="M2149" s="1907"/>
      <c r="O2149" s="412"/>
      <c r="P2149" s="391"/>
      <c r="Q2149" s="393"/>
    </row>
    <row r="2150" spans="1:18" ht="30" customHeight="1" x14ac:dyDescent="0.25">
      <c r="A2150" s="24" t="s">
        <v>760</v>
      </c>
      <c r="B2150" s="346" t="s">
        <v>1652</v>
      </c>
      <c r="C2150" s="347"/>
      <c r="D2150" s="348"/>
      <c r="E2150" s="326">
        <v>166000</v>
      </c>
      <c r="F2150" s="844" t="s">
        <v>11</v>
      </c>
      <c r="G2150" s="7">
        <f>+E2150/H2146</f>
        <v>10.868853532377399</v>
      </c>
      <c r="H2150" s="922" t="s">
        <v>1353</v>
      </c>
      <c r="I2150" s="942">
        <f>+E2150/H2146</f>
        <v>10.868853532377399</v>
      </c>
      <c r="J2150" s="10">
        <v>1.02</v>
      </c>
      <c r="K2150" s="700">
        <f t="shared" si="39"/>
        <v>11.086230603024946</v>
      </c>
      <c r="L2150" s="965" t="s">
        <v>9</v>
      </c>
      <c r="M2150" s="986"/>
      <c r="N2150" s="420"/>
      <c r="O2150"/>
      <c r="P2150" s="412"/>
      <c r="Q2150" s="391"/>
      <c r="R2150" s="393"/>
    </row>
    <row r="2151" spans="1:18" ht="30" customHeight="1" x14ac:dyDescent="0.25">
      <c r="A2151" s="24" t="s">
        <v>760</v>
      </c>
      <c r="B2151" s="346" t="s">
        <v>1653</v>
      </c>
      <c r="C2151" s="347"/>
      <c r="D2151" s="348"/>
      <c r="E2151" s="326">
        <f>+(228+250)/2</f>
        <v>239</v>
      </c>
      <c r="F2151" s="844" t="s">
        <v>7</v>
      </c>
      <c r="G2151" s="7">
        <f>254/H2146</f>
        <v>1.6630655404963005E-2</v>
      </c>
      <c r="H2151" s="922" t="s">
        <v>1353</v>
      </c>
      <c r="I2151" s="942">
        <f>+E2151*G2151</f>
        <v>3.9747266417861584</v>
      </c>
      <c r="J2151" s="10">
        <v>1.02</v>
      </c>
      <c r="K2151" s="700">
        <f t="shared" si="39"/>
        <v>4.0542211746218815</v>
      </c>
      <c r="L2151" s="965" t="s">
        <v>9</v>
      </c>
      <c r="M2151" s="434"/>
      <c r="N2151" s="420"/>
      <c r="O2151"/>
      <c r="P2151" s="412"/>
      <c r="Q2151" s="391"/>
      <c r="R2151" s="393"/>
    </row>
    <row r="2152" spans="1:18" ht="30" customHeight="1" x14ac:dyDescent="0.25">
      <c r="A2152" s="24" t="s">
        <v>760</v>
      </c>
      <c r="B2152" s="346" t="s">
        <v>1557</v>
      </c>
      <c r="C2152" s="347"/>
      <c r="D2152" s="348"/>
      <c r="E2152" s="326">
        <f>+(22.2+44.75)/2</f>
        <v>33.475000000000001</v>
      </c>
      <c r="F2152" s="844" t="s">
        <v>7</v>
      </c>
      <c r="G2152" s="7">
        <f>344/H2146</f>
        <v>2.252340732010738E-2</v>
      </c>
      <c r="H2152" s="922" t="s">
        <v>1353</v>
      </c>
      <c r="I2152" s="942">
        <f>+E2152*G2152</f>
        <v>0.75397106004059455</v>
      </c>
      <c r="J2152" s="10">
        <v>1.02</v>
      </c>
      <c r="K2152" s="700">
        <f t="shared" si="39"/>
        <v>0.76905048124140651</v>
      </c>
      <c r="L2152" s="965" t="s">
        <v>9</v>
      </c>
      <c r="M2152" s="434"/>
      <c r="N2152" s="420"/>
      <c r="O2152"/>
      <c r="P2152" s="412"/>
      <c r="Q2152" s="391"/>
      <c r="R2152" s="393"/>
    </row>
    <row r="2153" spans="1:18" ht="30" customHeight="1" x14ac:dyDescent="0.25">
      <c r="A2153" s="24" t="s">
        <v>664</v>
      </c>
      <c r="B2153" s="346" t="s">
        <v>1654</v>
      </c>
      <c r="C2153" s="347"/>
      <c r="D2153" s="348"/>
      <c r="E2153" s="326">
        <v>23.88</v>
      </c>
      <c r="F2153" s="844" t="s">
        <v>666</v>
      </c>
      <c r="G2153" s="589">
        <f>3*81*E2153/H2146</f>
        <v>0.37994107248084857</v>
      </c>
      <c r="H2153" s="922" t="s">
        <v>1353</v>
      </c>
      <c r="I2153" s="942">
        <f>+G2153</f>
        <v>0.37994107248084857</v>
      </c>
      <c r="J2153" s="10">
        <v>1.02</v>
      </c>
      <c r="K2153" s="700">
        <f t="shared" si="39"/>
        <v>0.38753989393046556</v>
      </c>
      <c r="L2153" s="965" t="s">
        <v>9</v>
      </c>
      <c r="M2153" s="434"/>
      <c r="N2153" s="420"/>
      <c r="O2153"/>
      <c r="P2153" s="412"/>
      <c r="Q2153" s="391"/>
      <c r="R2153" s="393"/>
    </row>
    <row r="2154" spans="1:18" ht="30" customHeight="1" x14ac:dyDescent="0.25">
      <c r="A2154" s="24" t="s">
        <v>664</v>
      </c>
      <c r="B2154" s="346" t="s">
        <v>1638</v>
      </c>
      <c r="C2154" s="347"/>
      <c r="D2154" s="348"/>
      <c r="E2154" s="326">
        <v>1905</v>
      </c>
      <c r="F2154" s="844" t="s">
        <v>11</v>
      </c>
      <c r="G2154" s="589">
        <f>3*E2154/H2146</f>
        <v>0.37418974661166765</v>
      </c>
      <c r="H2154" s="922" t="s">
        <v>1353</v>
      </c>
      <c r="I2154" s="942">
        <f>+G2154</f>
        <v>0.37418974661166765</v>
      </c>
      <c r="J2154" s="10">
        <v>1.02</v>
      </c>
      <c r="K2154" s="700">
        <f t="shared" si="39"/>
        <v>0.38167354154390098</v>
      </c>
      <c r="L2154" s="965" t="s">
        <v>9</v>
      </c>
      <c r="M2154" s="434"/>
      <c r="N2154" s="420"/>
      <c r="O2154"/>
      <c r="P2154" s="412"/>
      <c r="Q2154" s="391"/>
      <c r="R2154" s="393"/>
    </row>
    <row r="2155" spans="1:18" ht="30" customHeight="1" x14ac:dyDescent="0.25">
      <c r="A2155" s="24" t="s">
        <v>668</v>
      </c>
      <c r="B2155" s="346" t="s">
        <v>1655</v>
      </c>
      <c r="C2155" s="347"/>
      <c r="D2155" s="348"/>
      <c r="E2155" s="326">
        <f>+(31.5+75)/2</f>
        <v>53.25</v>
      </c>
      <c r="F2155" s="844" t="s">
        <v>7</v>
      </c>
      <c r="G2155" s="941">
        <v>30</v>
      </c>
      <c r="H2155" s="922" t="s">
        <v>1528</v>
      </c>
      <c r="I2155" s="942">
        <f>+E2155*G2155/H2146</f>
        <v>0.10459634649381261</v>
      </c>
      <c r="J2155" s="10">
        <v>1.04</v>
      </c>
      <c r="K2155" s="700">
        <f t="shared" si="39"/>
        <v>0.10878020035356512</v>
      </c>
      <c r="L2155" s="965" t="s">
        <v>9</v>
      </c>
      <c r="M2155" s="434"/>
      <c r="N2155" s="420"/>
      <c r="O2155"/>
      <c r="P2155" s="412"/>
      <c r="Q2155" s="391"/>
      <c r="R2155" s="393"/>
    </row>
    <row r="2156" spans="1:18" ht="30" customHeight="1" x14ac:dyDescent="0.25">
      <c r="A2156" s="24" t="s">
        <v>668</v>
      </c>
      <c r="B2156" s="346" t="s">
        <v>1656</v>
      </c>
      <c r="C2156" s="347"/>
      <c r="D2156" s="348"/>
      <c r="E2156" s="326">
        <f>+(5900+11300)/2</f>
        <v>8600</v>
      </c>
      <c r="F2156" s="844" t="s">
        <v>11</v>
      </c>
      <c r="G2156" s="941">
        <v>3</v>
      </c>
      <c r="H2156" s="922" t="s">
        <v>1353</v>
      </c>
      <c r="I2156" s="942">
        <f>+E2156*3/H2146</f>
        <v>1.6892555490080534</v>
      </c>
      <c r="J2156" s="10">
        <v>1.04</v>
      </c>
      <c r="K2156" s="700">
        <f t="shared" si="39"/>
        <v>1.7568257709683757</v>
      </c>
      <c r="L2156" s="965" t="s">
        <v>9</v>
      </c>
      <c r="M2156" s="1157"/>
      <c r="N2156" s="420"/>
      <c r="O2156"/>
      <c r="P2156" s="412"/>
      <c r="Q2156" s="391"/>
      <c r="R2156" s="393"/>
    </row>
    <row r="2157" spans="1:18" ht="30" customHeight="1" x14ac:dyDescent="0.25">
      <c r="A2157" s="24" t="s">
        <v>668</v>
      </c>
      <c r="B2157" s="346" t="s">
        <v>1657</v>
      </c>
      <c r="C2157" s="347"/>
      <c r="D2157" s="348"/>
      <c r="E2157" s="364">
        <f>+(605+925)/2</f>
        <v>765</v>
      </c>
      <c r="F2157" s="844" t="s">
        <v>11</v>
      </c>
      <c r="G2157" s="941">
        <v>3</v>
      </c>
      <c r="H2157" s="922" t="s">
        <v>1353</v>
      </c>
      <c r="I2157" s="942">
        <f>+E2157*3/H2146</f>
        <v>0.15026517383618149</v>
      </c>
      <c r="J2157" s="10">
        <v>1.04</v>
      </c>
      <c r="K2157" s="700">
        <f t="shared" si="39"/>
        <v>0.15627578078962875</v>
      </c>
      <c r="L2157" s="965" t="s">
        <v>9</v>
      </c>
      <c r="M2157" s="434"/>
      <c r="N2157" s="420"/>
      <c r="O2157"/>
      <c r="P2157" s="412"/>
      <c r="Q2157" s="391"/>
      <c r="R2157" s="393"/>
    </row>
    <row r="2158" spans="1:18" ht="30" customHeight="1" x14ac:dyDescent="0.25">
      <c r="A2158" s="24" t="s">
        <v>668</v>
      </c>
      <c r="B2158" s="346" t="s">
        <v>1658</v>
      </c>
      <c r="C2158" s="347"/>
      <c r="D2158" s="348"/>
      <c r="E2158" s="326">
        <f>+(1060+3175)/2</f>
        <v>2117.5</v>
      </c>
      <c r="F2158" s="844" t="s">
        <v>11</v>
      </c>
      <c r="G2158" s="941">
        <v>3</v>
      </c>
      <c r="H2158" s="922" t="s">
        <v>1353</v>
      </c>
      <c r="I2158" s="942">
        <f>+E2158*3/H2146</f>
        <v>0.41593007267727361</v>
      </c>
      <c r="J2158" s="10">
        <v>1.04</v>
      </c>
      <c r="K2158" s="700">
        <f t="shared" si="39"/>
        <v>0.43256727558436459</v>
      </c>
      <c r="L2158" s="965" t="s">
        <v>9</v>
      </c>
      <c r="M2158" s="1157"/>
      <c r="N2158" s="420"/>
      <c r="O2158"/>
      <c r="P2158" s="412"/>
      <c r="Q2158" s="391"/>
      <c r="R2158" s="393"/>
    </row>
    <row r="2159" spans="1:18" ht="30" customHeight="1" x14ac:dyDescent="0.25">
      <c r="A2159" s="24"/>
      <c r="B2159" s="701"/>
      <c r="C2159" s="701"/>
      <c r="D2159" s="701"/>
      <c r="E2159" s="326"/>
      <c r="F2159" s="10"/>
      <c r="G2159" s="845"/>
      <c r="H2159" s="846"/>
      <c r="I2159" s="846"/>
      <c r="J2159" s="10" t="s">
        <v>646</v>
      </c>
      <c r="K2159" s="326">
        <f>SUM(K2148:K2158)</f>
        <v>115.83696472205854</v>
      </c>
      <c r="L2159" s="6" t="s">
        <v>9</v>
      </c>
      <c r="M2159" s="105"/>
      <c r="N2159" s="420"/>
      <c r="O2159"/>
      <c r="P2159" s="412"/>
      <c r="Q2159" s="391"/>
      <c r="R2159" s="393"/>
    </row>
    <row r="2160" spans="1:18" ht="30" customHeight="1" x14ac:dyDescent="0.25">
      <c r="A2160" s="61"/>
      <c r="B2160" s="998" t="s">
        <v>1659</v>
      </c>
      <c r="C2160" s="999"/>
      <c r="D2160" s="1000"/>
      <c r="E2160" s="410"/>
      <c r="F2160" s="338" t="s">
        <v>533</v>
      </c>
      <c r="G2160" s="1158" t="s">
        <v>534</v>
      </c>
      <c r="H2160" s="1159"/>
      <c r="I2160" s="1159"/>
      <c r="J2160" s="1160"/>
      <c r="K2160" s="340">
        <v>1.0900000000000001</v>
      </c>
      <c r="L2160" s="10"/>
      <c r="M2160" s="1906"/>
      <c r="N2160" s="671"/>
      <c r="O2160"/>
      <c r="P2160" s="412"/>
      <c r="Q2160" s="391"/>
      <c r="R2160" s="393"/>
    </row>
    <row r="2161" spans="1:18" ht="30" customHeight="1" x14ac:dyDescent="0.25">
      <c r="A2161" s="61"/>
      <c r="B2161" s="410"/>
      <c r="C2161" s="410"/>
      <c r="D2161" s="410"/>
      <c r="E2161" s="410"/>
      <c r="F2161" s="343"/>
      <c r="G2161" s="344" t="s">
        <v>535</v>
      </c>
      <c r="H2161" s="344"/>
      <c r="I2161" s="344"/>
      <c r="J2161" s="344"/>
      <c r="K2161" s="340">
        <v>1.02</v>
      </c>
      <c r="L2161" s="10"/>
      <c r="M2161" s="671"/>
      <c r="O2161" s="412"/>
      <c r="P2161" s="391"/>
      <c r="Q2161" s="393"/>
    </row>
    <row r="2162" spans="1:18" s="49" customFormat="1" ht="30" customHeight="1" x14ac:dyDescent="0.25">
      <c r="A2162" s="1150"/>
      <c r="B2162" s="1161"/>
      <c r="C2162" s="1162"/>
      <c r="D2162" s="1162"/>
      <c r="E2162" s="1162"/>
      <c r="F2162" s="1162"/>
      <c r="G2162" s="1162"/>
      <c r="H2162" s="1163"/>
      <c r="I2162" s="13"/>
      <c r="J2162" s="10" t="s">
        <v>358</v>
      </c>
      <c r="K2162" s="14">
        <f>+K2159*K2160/K2161</f>
        <v>123.78656034023903</v>
      </c>
      <c r="L2162" s="965" t="s">
        <v>9</v>
      </c>
      <c r="M2162" s="1907"/>
      <c r="N2162" s="502"/>
      <c r="O2162" s="412"/>
      <c r="P2162" s="391"/>
      <c r="Q2162" s="393"/>
    </row>
    <row r="2163" spans="1:18" ht="30" customHeight="1" thickBot="1" x14ac:dyDescent="0.3">
      <c r="A2163" s="1150"/>
      <c r="B2163" s="1154"/>
      <c r="C2163" s="1155"/>
      <c r="D2163" s="1155"/>
      <c r="E2163" s="1155"/>
      <c r="F2163" s="1155"/>
      <c r="G2163" s="1164"/>
      <c r="I2163" s="1156" t="s">
        <v>652</v>
      </c>
      <c r="J2163" s="447">
        <f>VLOOKUP(B2146,'Mil Cost Premiums for RUCs'!$A$4:$R$265,18,FALSE)</f>
        <v>1.3319480854780448</v>
      </c>
      <c r="K2163" s="17">
        <f>+K2162*J2163</f>
        <v>164.87727205309386</v>
      </c>
      <c r="L2163" s="1136" t="s">
        <v>9</v>
      </c>
      <c r="M2163" s="967"/>
      <c r="O2163" s="412"/>
      <c r="P2163" s="391"/>
      <c r="Q2163" s="393"/>
    </row>
    <row r="2164" spans="1:18" ht="30" customHeight="1" thickBot="1" x14ac:dyDescent="0.3">
      <c r="A2164" s="76"/>
      <c r="B2164" s="77"/>
      <c r="C2164" s="77"/>
      <c r="D2164" s="77"/>
      <c r="E2164" s="77"/>
      <c r="F2164" s="77"/>
      <c r="G2164" s="77"/>
      <c r="H2164" s="77"/>
      <c r="I2164" s="77"/>
      <c r="J2164" s="77"/>
      <c r="K2164" s="77"/>
      <c r="L2164" s="78"/>
      <c r="M2164" s="1907"/>
      <c r="O2164" s="412"/>
      <c r="P2164" s="391"/>
      <c r="Q2164" s="393"/>
    </row>
    <row r="2165" spans="1:18" ht="30" customHeight="1" x14ac:dyDescent="0.25">
      <c r="A2165" s="306" t="s">
        <v>288</v>
      </c>
      <c r="B2165" s="307">
        <v>3151</v>
      </c>
      <c r="C2165" s="1165" t="s">
        <v>1660</v>
      </c>
      <c r="D2165" s="1166"/>
      <c r="E2165" s="310" t="s">
        <v>291</v>
      </c>
      <c r="F2165" s="311" t="s">
        <v>9</v>
      </c>
      <c r="G2165" s="123" t="s">
        <v>375</v>
      </c>
      <c r="H2165" s="1167">
        <v>10641</v>
      </c>
      <c r="I2165" s="310" t="s">
        <v>292</v>
      </c>
      <c r="J2165" s="38" t="s">
        <v>883</v>
      </c>
      <c r="K2165" s="38"/>
      <c r="L2165" s="389"/>
      <c r="M2165" s="1907"/>
      <c r="O2165" s="412"/>
      <c r="P2165" s="391"/>
      <c r="Q2165" s="393"/>
    </row>
    <row r="2166" spans="1:18" ht="30" customHeight="1" x14ac:dyDescent="0.25">
      <c r="A2166" s="695" t="s">
        <v>529</v>
      </c>
      <c r="B2166" s="883" t="s">
        <v>560</v>
      </c>
      <c r="C2166" s="884"/>
      <c r="D2166" s="885"/>
      <c r="E2166" s="1130" t="s">
        <v>519</v>
      </c>
      <c r="F2166" s="1130" t="s">
        <v>561</v>
      </c>
      <c r="G2166" s="547" t="s">
        <v>562</v>
      </c>
      <c r="H2166" s="548"/>
      <c r="I2166" s="938" t="s">
        <v>1661</v>
      </c>
      <c r="J2166" s="424" t="s">
        <v>530</v>
      </c>
      <c r="K2166" s="288" t="s">
        <v>521</v>
      </c>
      <c r="L2166" s="289"/>
      <c r="M2166" s="1907"/>
      <c r="O2166" s="412"/>
      <c r="P2166" s="391"/>
      <c r="Q2166" s="393"/>
    </row>
    <row r="2167" spans="1:18" ht="45" customHeight="1" x14ac:dyDescent="0.25">
      <c r="A2167" s="24" t="s">
        <v>649</v>
      </c>
      <c r="B2167" s="346" t="s">
        <v>1620</v>
      </c>
      <c r="C2167" s="347"/>
      <c r="D2167" s="348"/>
      <c r="E2167" s="326">
        <f>222.42-2.42</f>
        <v>220</v>
      </c>
      <c r="F2167" s="24" t="s">
        <v>9</v>
      </c>
      <c r="G2167" s="1168"/>
      <c r="H2167" s="1041"/>
      <c r="I2167" s="1041"/>
      <c r="J2167" s="10">
        <v>1.06</v>
      </c>
      <c r="K2167" s="326">
        <f>+E2167*J2167</f>
        <v>233.20000000000002</v>
      </c>
      <c r="L2167" s="10" t="s">
        <v>9</v>
      </c>
      <c r="M2167" s="1907"/>
      <c r="O2167" s="412"/>
      <c r="P2167" s="391"/>
      <c r="Q2167" s="393"/>
    </row>
    <row r="2168" spans="1:18" ht="30" customHeight="1" x14ac:dyDescent="0.25">
      <c r="A2168" s="24" t="s">
        <v>760</v>
      </c>
      <c r="B2168" s="346" t="s">
        <v>1662</v>
      </c>
      <c r="C2168" s="347"/>
      <c r="D2168" s="348"/>
      <c r="E2168" s="326">
        <v>166000</v>
      </c>
      <c r="F2168" s="24" t="s">
        <v>11</v>
      </c>
      <c r="G2168" s="1169">
        <f>+H2165</f>
        <v>10641</v>
      </c>
      <c r="H2168" s="846" t="s">
        <v>1468</v>
      </c>
      <c r="I2168" s="846"/>
      <c r="J2168" s="10">
        <v>1.02</v>
      </c>
      <c r="K2168" s="326">
        <f>+E2168/G2168*J2168</f>
        <v>15.912038342261067</v>
      </c>
      <c r="L2168" s="10" t="s">
        <v>9</v>
      </c>
      <c r="M2168" s="1907"/>
      <c r="O2168" s="412"/>
      <c r="P2168" s="391"/>
      <c r="Q2168" s="393"/>
    </row>
    <row r="2169" spans="1:18" ht="30" customHeight="1" x14ac:dyDescent="0.25">
      <c r="A2169" s="24" t="s">
        <v>760</v>
      </c>
      <c r="B2169" s="346" t="s">
        <v>1663</v>
      </c>
      <c r="C2169" s="347"/>
      <c r="D2169" s="348"/>
      <c r="E2169" s="326">
        <f>+(228+250)/2</f>
        <v>239</v>
      </c>
      <c r="F2169" s="1140" t="s">
        <v>7</v>
      </c>
      <c r="G2169" s="431">
        <f>246/H2165</f>
        <v>2.3118127995489145E-2</v>
      </c>
      <c r="H2169" s="846" t="s">
        <v>1664</v>
      </c>
      <c r="I2169" s="846"/>
      <c r="J2169" s="10">
        <v>1.02</v>
      </c>
      <c r="K2169" s="326">
        <f>+E2169*G2169*J2169</f>
        <v>5.635737242740344</v>
      </c>
      <c r="L2169" s="10" t="s">
        <v>9</v>
      </c>
      <c r="M2169" s="1907"/>
      <c r="O2169" s="412"/>
      <c r="P2169" s="391"/>
      <c r="Q2169" s="393"/>
    </row>
    <row r="2170" spans="1:18" ht="30" customHeight="1" x14ac:dyDescent="0.25">
      <c r="A2170" s="24" t="s">
        <v>760</v>
      </c>
      <c r="B2170" s="346" t="s">
        <v>762</v>
      </c>
      <c r="C2170" s="347"/>
      <c r="D2170" s="348"/>
      <c r="E2170" s="326">
        <f>+(22.2+44.75)/2</f>
        <v>33.475000000000001</v>
      </c>
      <c r="F2170" s="1140" t="s">
        <v>7</v>
      </c>
      <c r="G2170" s="431">
        <f>246/H2165</f>
        <v>2.3118127995489145E-2</v>
      </c>
      <c r="H2170" s="846" t="s">
        <v>1664</v>
      </c>
      <c r="I2170" s="846"/>
      <c r="J2170" s="10">
        <v>1.02</v>
      </c>
      <c r="K2170" s="326">
        <f>+E2170*G2170*J2170</f>
        <v>0.78935692134197921</v>
      </c>
      <c r="L2170" s="10" t="s">
        <v>9</v>
      </c>
      <c r="M2170" s="1907"/>
      <c r="O2170" s="412"/>
      <c r="P2170" s="391"/>
      <c r="Q2170" s="393"/>
    </row>
    <row r="2171" spans="1:18" ht="30" customHeight="1" x14ac:dyDescent="0.25">
      <c r="A2171" s="24" t="s">
        <v>664</v>
      </c>
      <c r="B2171" s="138" t="s">
        <v>1665</v>
      </c>
      <c r="C2171" s="139"/>
      <c r="D2171" s="140"/>
      <c r="E2171" s="887">
        <v>23.88</v>
      </c>
      <c r="F2171" s="1140" t="s">
        <v>1666</v>
      </c>
      <c r="G2171" s="845">
        <v>81</v>
      </c>
      <c r="H2171" s="846" t="s">
        <v>1667</v>
      </c>
      <c r="I2171" s="1170">
        <f t="shared" ref="I2171:I2176" si="40">+E2171*G2171/$H$2165</f>
        <v>0.18177614885819002</v>
      </c>
      <c r="J2171" s="10">
        <v>1.02</v>
      </c>
      <c r="K2171" s="326">
        <f t="shared" ref="K2171:K2176" si="41">+I2171*J2171</f>
        <v>0.18541167183535381</v>
      </c>
      <c r="L2171" s="10" t="s">
        <v>9</v>
      </c>
      <c r="M2171" s="1907"/>
      <c r="O2171" s="412"/>
      <c r="P2171" s="391"/>
      <c r="Q2171" s="393"/>
    </row>
    <row r="2172" spans="1:18" ht="30" customHeight="1" x14ac:dyDescent="0.25">
      <c r="A2172" s="24" t="s">
        <v>664</v>
      </c>
      <c r="B2172" s="138" t="s">
        <v>1638</v>
      </c>
      <c r="C2172" s="139"/>
      <c r="D2172" s="140"/>
      <c r="E2172" s="887">
        <v>1905</v>
      </c>
      <c r="F2172" s="1140" t="s">
        <v>11</v>
      </c>
      <c r="G2172" s="845">
        <v>1</v>
      </c>
      <c r="H2172" s="846"/>
      <c r="I2172" s="1170">
        <f t="shared" si="40"/>
        <v>0.17902452776994643</v>
      </c>
      <c r="J2172" s="10">
        <v>1.02</v>
      </c>
      <c r="K2172" s="326">
        <f t="shared" si="41"/>
        <v>0.18260501832534537</v>
      </c>
      <c r="L2172" s="10" t="s">
        <v>9</v>
      </c>
      <c r="M2172" s="1907"/>
      <c r="O2172" s="412"/>
      <c r="P2172" s="391"/>
      <c r="Q2172" s="393"/>
    </row>
    <row r="2173" spans="1:18" ht="30" customHeight="1" x14ac:dyDescent="0.25">
      <c r="A2173" s="24" t="s">
        <v>668</v>
      </c>
      <c r="B2173" s="138" t="s">
        <v>1668</v>
      </c>
      <c r="C2173" s="139"/>
      <c r="D2173" s="140"/>
      <c r="E2173" s="887">
        <v>53.25</v>
      </c>
      <c r="F2173" s="1140" t="s">
        <v>7</v>
      </c>
      <c r="G2173" s="845">
        <v>10</v>
      </c>
      <c r="H2173" s="846"/>
      <c r="I2173" s="1170">
        <f t="shared" si="40"/>
        <v>5.0042289258528334E-2</v>
      </c>
      <c r="J2173" s="10">
        <v>1.04</v>
      </c>
      <c r="K2173" s="326">
        <f t="shared" si="41"/>
        <v>5.204398082886947E-2</v>
      </c>
      <c r="L2173" s="10" t="s">
        <v>9</v>
      </c>
      <c r="M2173" s="1907"/>
      <c r="O2173" s="412"/>
      <c r="P2173" s="391"/>
      <c r="Q2173" s="393"/>
    </row>
    <row r="2174" spans="1:18" ht="30" customHeight="1" x14ac:dyDescent="0.25">
      <c r="A2174" s="24" t="s">
        <v>668</v>
      </c>
      <c r="B2174" s="138" t="s">
        <v>1669</v>
      </c>
      <c r="C2174" s="139"/>
      <c r="D2174" s="140"/>
      <c r="E2174" s="887">
        <v>8600</v>
      </c>
      <c r="F2174" s="1140" t="s">
        <v>11</v>
      </c>
      <c r="G2174" s="845">
        <v>1</v>
      </c>
      <c r="H2174" s="846"/>
      <c r="I2174" s="1170">
        <f t="shared" si="40"/>
        <v>0.8081947185414905</v>
      </c>
      <c r="J2174" s="10">
        <v>1.04</v>
      </c>
      <c r="K2174" s="326">
        <f t="shared" si="41"/>
        <v>0.84052250728315014</v>
      </c>
      <c r="L2174" s="10" t="s">
        <v>9</v>
      </c>
      <c r="M2174" s="955"/>
      <c r="N2174" s="671"/>
      <c r="O2174" s="43"/>
      <c r="P2174" s="672"/>
      <c r="Q2174" s="671"/>
      <c r="R2174" s="673"/>
    </row>
    <row r="2175" spans="1:18" ht="30" customHeight="1" x14ac:dyDescent="0.25">
      <c r="A2175" s="24" t="s">
        <v>668</v>
      </c>
      <c r="B2175" s="138" t="s">
        <v>1360</v>
      </c>
      <c r="C2175" s="139"/>
      <c r="D2175" s="140"/>
      <c r="E2175" s="887">
        <v>765</v>
      </c>
      <c r="F2175" s="1140" t="s">
        <v>11</v>
      </c>
      <c r="G2175" s="845">
        <v>1</v>
      </c>
      <c r="H2175" s="846"/>
      <c r="I2175" s="1170">
        <f t="shared" si="40"/>
        <v>7.1891739498167462E-2</v>
      </c>
      <c r="J2175" s="10">
        <v>1.04</v>
      </c>
      <c r="K2175" s="326">
        <f t="shared" si="41"/>
        <v>7.4767409078094163E-2</v>
      </c>
      <c r="L2175" s="10" t="s">
        <v>9</v>
      </c>
      <c r="M2175" s="955"/>
      <c r="N2175" s="671"/>
      <c r="O2175" s="43"/>
      <c r="P2175" s="672"/>
      <c r="Q2175" s="671"/>
      <c r="R2175" s="673"/>
    </row>
    <row r="2176" spans="1:18" ht="30" customHeight="1" x14ac:dyDescent="0.25">
      <c r="A2176" s="24" t="s">
        <v>668</v>
      </c>
      <c r="B2176" s="138" t="s">
        <v>673</v>
      </c>
      <c r="C2176" s="139"/>
      <c r="D2176" s="140"/>
      <c r="E2176" s="887">
        <v>2117</v>
      </c>
      <c r="F2176" s="1140" t="s">
        <v>11</v>
      </c>
      <c r="G2176" s="845">
        <v>1</v>
      </c>
      <c r="H2176" s="846"/>
      <c r="I2176" s="1170">
        <f t="shared" si="40"/>
        <v>0.1989474673432948</v>
      </c>
      <c r="J2176" s="10">
        <v>1.04</v>
      </c>
      <c r="K2176" s="326">
        <f t="shared" si="41"/>
        <v>0.20690536603702658</v>
      </c>
      <c r="L2176" s="10" t="s">
        <v>9</v>
      </c>
      <c r="M2176" s="1907"/>
      <c r="O2176" s="412"/>
      <c r="P2176" s="391"/>
      <c r="Q2176" s="393"/>
    </row>
    <row r="2177" spans="1:18" ht="30" customHeight="1" x14ac:dyDescent="0.25">
      <c r="A2177" s="24" t="s">
        <v>644</v>
      </c>
      <c r="B2177" s="129" t="s">
        <v>1589</v>
      </c>
      <c r="C2177" s="130"/>
      <c r="D2177" s="130"/>
      <c r="E2177" s="887">
        <v>4.01</v>
      </c>
      <c r="F2177" s="1140" t="s">
        <v>9</v>
      </c>
      <c r="G2177" s="845"/>
      <c r="H2177" s="846"/>
      <c r="I2177" s="846"/>
      <c r="J2177" s="10">
        <v>1.06</v>
      </c>
      <c r="K2177" s="326">
        <f>+E2177*J2177</f>
        <v>4.2506000000000004</v>
      </c>
      <c r="L2177" s="10" t="s">
        <v>9</v>
      </c>
      <c r="M2177" s="671"/>
      <c r="O2177" s="412"/>
      <c r="P2177" s="391"/>
      <c r="Q2177" s="393"/>
    </row>
    <row r="2178" spans="1:18" ht="30" customHeight="1" x14ac:dyDescent="0.25">
      <c r="A2178" s="24" t="s">
        <v>644</v>
      </c>
      <c r="B2178" s="346" t="s">
        <v>1670</v>
      </c>
      <c r="C2178" s="347"/>
      <c r="D2178" s="348"/>
      <c r="E2178" s="326">
        <f>4.01*0.15</f>
        <v>0.60149999999999992</v>
      </c>
      <c r="F2178" s="1140" t="s">
        <v>9</v>
      </c>
      <c r="G2178" s="845"/>
      <c r="H2178" s="846"/>
      <c r="I2178" s="846"/>
      <c r="J2178" s="10">
        <v>1.06</v>
      </c>
      <c r="K2178" s="326">
        <f>+E2178*J2178</f>
        <v>0.63758999999999999</v>
      </c>
      <c r="L2178" s="10" t="s">
        <v>9</v>
      </c>
      <c r="M2178" s="1356"/>
      <c r="N2178" s="671"/>
      <c r="O2178"/>
      <c r="P2178" s="412"/>
      <c r="Q2178" s="391"/>
      <c r="R2178" s="393"/>
    </row>
    <row r="2179" spans="1:18" ht="30" customHeight="1" x14ac:dyDescent="0.25">
      <c r="A2179" s="24" t="s">
        <v>644</v>
      </c>
      <c r="B2179" s="346" t="s">
        <v>1320</v>
      </c>
      <c r="C2179" s="347"/>
      <c r="D2179" s="348"/>
      <c r="E2179" s="14">
        <f xml:space="preserve"> 0.53+((1.06+1.57)/2)</f>
        <v>1.845</v>
      </c>
      <c r="F2179" s="1140" t="s">
        <v>9</v>
      </c>
      <c r="G2179" s="845"/>
      <c r="H2179" s="846"/>
      <c r="I2179" s="846"/>
      <c r="J2179" s="10">
        <v>1.06</v>
      </c>
      <c r="K2179" s="326">
        <f>+E2179*J2179</f>
        <v>1.9557</v>
      </c>
      <c r="L2179" s="10" t="s">
        <v>9</v>
      </c>
      <c r="M2179" s="671"/>
      <c r="O2179" s="412"/>
      <c r="P2179" s="391"/>
      <c r="Q2179" s="393"/>
    </row>
    <row r="2180" spans="1:18" s="49" customFormat="1" ht="30" customHeight="1" x14ac:dyDescent="0.25">
      <c r="A2180" s="24"/>
      <c r="B2180" s="574"/>
      <c r="C2180" s="574"/>
      <c r="D2180" s="574"/>
      <c r="E2180" s="887"/>
      <c r="F2180" s="24"/>
      <c r="G2180" s="845"/>
      <c r="H2180" s="846"/>
      <c r="I2180" s="846"/>
      <c r="J2180" s="10" t="s">
        <v>578</v>
      </c>
      <c r="K2180" s="326">
        <f>SUM(K2167:K2179)</f>
        <v>263.92327845973125</v>
      </c>
      <c r="L2180" s="10" t="s">
        <v>9</v>
      </c>
      <c r="M2180" s="420"/>
      <c r="N2180" s="502"/>
      <c r="O2180" s="412"/>
      <c r="P2180" s="391"/>
      <c r="Q2180" s="393"/>
    </row>
    <row r="2181" spans="1:18" ht="30" customHeight="1" x14ac:dyDescent="0.25">
      <c r="A2181" s="61"/>
      <c r="B2181" s="498"/>
      <c r="C2181" s="498"/>
      <c r="D2181" s="498"/>
      <c r="E2181" s="498"/>
      <c r="F2181" s="676" t="s">
        <v>533</v>
      </c>
      <c r="G2181" s="339" t="s">
        <v>534</v>
      </c>
      <c r="H2181" s="339"/>
      <c r="I2181" s="339"/>
      <c r="J2181" s="339"/>
      <c r="K2181" s="340">
        <v>1.0900000000000001</v>
      </c>
      <c r="L2181" s="10"/>
      <c r="M2181" s="420"/>
      <c r="O2181" s="412"/>
      <c r="P2181" s="391"/>
      <c r="Q2181" s="393"/>
    </row>
    <row r="2182" spans="1:18" ht="30" customHeight="1" x14ac:dyDescent="0.25">
      <c r="A2182" s="61"/>
      <c r="B2182" s="498"/>
      <c r="C2182" s="498"/>
      <c r="D2182" s="498"/>
      <c r="E2182" s="498"/>
      <c r="F2182" s="678"/>
      <c r="G2182" s="344" t="s">
        <v>535</v>
      </c>
      <c r="H2182" s="344"/>
      <c r="I2182" s="344"/>
      <c r="J2182" s="344"/>
      <c r="K2182" s="340">
        <v>1.02</v>
      </c>
      <c r="L2182" s="10"/>
      <c r="M2182" s="1907"/>
      <c r="O2182" s="412"/>
      <c r="P2182" s="391"/>
      <c r="Q2182" s="393"/>
    </row>
    <row r="2183" spans="1:18" ht="30" customHeight="1" x14ac:dyDescent="0.25">
      <c r="A2183" s="24"/>
      <c r="B2183" s="24"/>
      <c r="C2183" s="64"/>
      <c r="D2183" s="64"/>
      <c r="E2183" s="64"/>
      <c r="F2183" s="64"/>
      <c r="G2183" s="64"/>
      <c r="H2183" s="64"/>
      <c r="I2183" s="64"/>
      <c r="J2183" s="24" t="s">
        <v>358</v>
      </c>
      <c r="K2183" s="17">
        <f>+K2180*K2181/K2182</f>
        <v>282.03566031481091</v>
      </c>
      <c r="L2183" s="24" t="s">
        <v>9</v>
      </c>
      <c r="M2183" s="420"/>
      <c r="O2183" s="412"/>
      <c r="P2183" s="391"/>
      <c r="Q2183" s="393"/>
    </row>
    <row r="2184" spans="1:18" ht="30" customHeight="1" x14ac:dyDescent="0.25">
      <c r="A2184" s="24"/>
      <c r="B2184" s="24"/>
      <c r="C2184" s="64"/>
      <c r="D2184" s="64"/>
      <c r="E2184" s="64"/>
      <c r="F2184" s="64"/>
      <c r="H2184" s="64"/>
      <c r="I2184" s="1171" t="s">
        <v>652</v>
      </c>
      <c r="J2184" s="447">
        <f>VLOOKUP(B2165,'Mil Cost Premiums for RUCs'!$A$4:$R$265,18,FALSE)</f>
        <v>1.3319480854780448</v>
      </c>
      <c r="K2184" s="17">
        <f>+K2183*J2184</f>
        <v>375.65685779284854</v>
      </c>
      <c r="L2184" s="24" t="s">
        <v>9</v>
      </c>
      <c r="M2184" s="420"/>
      <c r="O2184" s="412"/>
      <c r="P2184" s="391"/>
      <c r="Q2184" s="393"/>
    </row>
    <row r="2185" spans="1:18" ht="75" customHeight="1" x14ac:dyDescent="0.25">
      <c r="A2185" s="576" t="s">
        <v>538</v>
      </c>
      <c r="B2185" s="576"/>
      <c r="C2185" s="576"/>
      <c r="D2185" s="576"/>
      <c r="E2185" s="576"/>
      <c r="F2185" s="576"/>
      <c r="G2185" s="576"/>
      <c r="H2185" s="576"/>
      <c r="I2185" s="576"/>
      <c r="J2185" s="576"/>
      <c r="K2185" s="576"/>
      <c r="L2185" s="576"/>
      <c r="M2185" s="420"/>
      <c r="O2185" s="412"/>
      <c r="P2185" s="391"/>
      <c r="Q2185" s="393"/>
    </row>
    <row r="2186" spans="1:18" ht="30" customHeight="1" x14ac:dyDescent="0.25">
      <c r="A2186" s="28" t="s">
        <v>539</v>
      </c>
      <c r="B2186" s="28"/>
      <c r="C2186" s="28"/>
      <c r="D2186" s="148" t="s">
        <v>1671</v>
      </c>
      <c r="E2186" s="148"/>
      <c r="F2186" s="148"/>
      <c r="G2186" s="148"/>
      <c r="H2186" s="148"/>
      <c r="I2186" s="148"/>
      <c r="J2186" s="148"/>
      <c r="K2186" s="148"/>
      <c r="L2186" s="148"/>
      <c r="M2186" s="420"/>
      <c r="O2186" s="412"/>
      <c r="P2186" s="391"/>
      <c r="Q2186" s="393"/>
    </row>
    <row r="2187" spans="1:18" ht="75" customHeight="1" x14ac:dyDescent="0.25">
      <c r="A2187" s="28" t="s">
        <v>541</v>
      </c>
      <c r="B2187" s="28"/>
      <c r="C2187" s="28"/>
      <c r="D2187" s="148" t="s">
        <v>1672</v>
      </c>
      <c r="E2187" s="148"/>
      <c r="F2187" s="148"/>
      <c r="G2187" s="148"/>
      <c r="H2187" s="148"/>
      <c r="I2187" s="148"/>
      <c r="J2187" s="148"/>
      <c r="K2187" s="148"/>
      <c r="L2187" s="148"/>
      <c r="M2187" s="420"/>
      <c r="O2187" s="412"/>
      <c r="P2187" s="391"/>
      <c r="Q2187" s="393"/>
    </row>
    <row r="2188" spans="1:18" ht="30" customHeight="1" x14ac:dyDescent="0.25">
      <c r="A2188" s="28" t="s">
        <v>543</v>
      </c>
      <c r="B2188" s="28"/>
      <c r="C2188" s="28"/>
      <c r="D2188" s="148" t="s">
        <v>1673</v>
      </c>
      <c r="E2188" s="148"/>
      <c r="F2188" s="148"/>
      <c r="G2188" s="148"/>
      <c r="H2188" s="148"/>
      <c r="I2188" s="148"/>
      <c r="J2188" s="148"/>
      <c r="K2188" s="148"/>
      <c r="L2188" s="148"/>
      <c r="M2188" s="420"/>
      <c r="O2188" s="412"/>
      <c r="P2188" s="391"/>
      <c r="Q2188" s="393"/>
    </row>
    <row r="2189" spans="1:18" ht="45" customHeight="1" x14ac:dyDescent="0.25">
      <c r="A2189" s="28" t="s">
        <v>546</v>
      </c>
      <c r="B2189" s="28"/>
      <c r="C2189" s="28"/>
      <c r="D2189" s="148" t="s">
        <v>1674</v>
      </c>
      <c r="E2189" s="148"/>
      <c r="F2189" s="148"/>
      <c r="G2189" s="148"/>
      <c r="H2189" s="148"/>
      <c r="I2189" s="148"/>
      <c r="J2189" s="148"/>
      <c r="K2189" s="148"/>
      <c r="L2189" s="148"/>
      <c r="M2189" s="420"/>
      <c r="O2189" s="412"/>
      <c r="P2189" s="391"/>
      <c r="Q2189" s="393"/>
    </row>
    <row r="2190" spans="1:18" ht="60" customHeight="1" x14ac:dyDescent="0.25">
      <c r="A2190" s="28" t="s">
        <v>548</v>
      </c>
      <c r="B2190" s="28"/>
      <c r="C2190" s="28"/>
      <c r="D2190" s="148" t="s">
        <v>1675</v>
      </c>
      <c r="E2190" s="148"/>
      <c r="F2190" s="148"/>
      <c r="G2190" s="148"/>
      <c r="H2190" s="148"/>
      <c r="I2190" s="148"/>
      <c r="J2190" s="148"/>
      <c r="K2190" s="148"/>
      <c r="L2190" s="148"/>
      <c r="M2190" s="420"/>
      <c r="O2190" s="412"/>
      <c r="P2190" s="391"/>
      <c r="Q2190" s="393"/>
    </row>
    <row r="2191" spans="1:18" ht="30" customHeight="1" x14ac:dyDescent="0.25">
      <c r="A2191" s="28" t="s">
        <v>550</v>
      </c>
      <c r="B2191" s="28"/>
      <c r="C2191" s="28"/>
      <c r="D2191" s="148" t="s">
        <v>1676</v>
      </c>
      <c r="E2191" s="148"/>
      <c r="F2191" s="148"/>
      <c r="G2191" s="148"/>
      <c r="H2191" s="148"/>
      <c r="I2191" s="148"/>
      <c r="J2191" s="148"/>
      <c r="K2191" s="148"/>
      <c r="L2191" s="148"/>
      <c r="M2191" s="420"/>
      <c r="O2191" s="412"/>
      <c r="P2191" s="391"/>
      <c r="Q2191" s="393"/>
    </row>
    <row r="2192" spans="1:18" ht="30" customHeight="1" x14ac:dyDescent="0.25">
      <c r="A2192" s="28" t="s">
        <v>552</v>
      </c>
      <c r="B2192" s="28"/>
      <c r="C2192" s="28"/>
      <c r="D2192" s="148" t="s">
        <v>1603</v>
      </c>
      <c r="E2192" s="148"/>
      <c r="F2192" s="148"/>
      <c r="G2192" s="148"/>
      <c r="H2192" s="148"/>
      <c r="I2192" s="148"/>
      <c r="J2192" s="148"/>
      <c r="K2192" s="148"/>
      <c r="L2192" s="148"/>
      <c r="M2192" s="420"/>
      <c r="O2192" s="412"/>
      <c r="P2192" s="391"/>
      <c r="Q2192" s="393"/>
    </row>
    <row r="2193" spans="1:18" ht="30" customHeight="1" x14ac:dyDescent="0.25">
      <c r="A2193" s="28" t="s">
        <v>553</v>
      </c>
      <c r="B2193" s="28"/>
      <c r="C2193" s="28"/>
      <c r="D2193" s="148" t="s">
        <v>660</v>
      </c>
      <c r="E2193" s="148"/>
      <c r="F2193" s="148"/>
      <c r="G2193" s="148"/>
      <c r="H2193" s="148"/>
      <c r="I2193" s="148"/>
      <c r="J2193" s="148"/>
      <c r="K2193" s="148"/>
      <c r="L2193" s="148"/>
      <c r="M2193" s="420"/>
      <c r="O2193" s="412"/>
      <c r="P2193" s="391"/>
      <c r="Q2193" s="393"/>
    </row>
    <row r="2194" spans="1:18" ht="75" customHeight="1" thickBot="1" x14ac:dyDescent="0.3">
      <c r="A2194" s="1860" t="s">
        <v>556</v>
      </c>
      <c r="B2194" s="1860"/>
      <c r="C2194" s="1860"/>
      <c r="D2194" s="1861" t="s">
        <v>1677</v>
      </c>
      <c r="E2194" s="1861"/>
      <c r="F2194" s="1861"/>
      <c r="G2194" s="1861"/>
      <c r="H2194" s="1861"/>
      <c r="I2194" s="1861"/>
      <c r="J2194" s="1861"/>
      <c r="K2194" s="1861"/>
      <c r="L2194" s="1861"/>
      <c r="M2194" s="420"/>
      <c r="O2194" s="412"/>
      <c r="P2194" s="391"/>
      <c r="Q2194" s="393"/>
    </row>
    <row r="2195" spans="1:18" ht="30" customHeight="1" thickBot="1" x14ac:dyDescent="0.3">
      <c r="A2195" s="76"/>
      <c r="B2195" s="77"/>
      <c r="C2195" s="77"/>
      <c r="D2195" s="77"/>
      <c r="E2195" s="77"/>
      <c r="F2195" s="77"/>
      <c r="G2195" s="77"/>
      <c r="H2195" s="77"/>
      <c r="I2195" s="77"/>
      <c r="J2195" s="77"/>
      <c r="K2195" s="77"/>
      <c r="L2195" s="78"/>
      <c r="M2195" s="420"/>
      <c r="O2195" s="412"/>
      <c r="P2195" s="391"/>
      <c r="Q2195" s="393"/>
    </row>
    <row r="2196" spans="1:18" ht="30" customHeight="1" x14ac:dyDescent="0.25">
      <c r="A2196" s="1172" t="s">
        <v>288</v>
      </c>
      <c r="B2196" s="733">
        <v>3161</v>
      </c>
      <c r="C2196" s="880" t="s">
        <v>1678</v>
      </c>
      <c r="D2196" s="881"/>
      <c r="E2196" s="1173" t="s">
        <v>291</v>
      </c>
      <c r="F2196" s="1174" t="s">
        <v>9</v>
      </c>
      <c r="G2196" s="123" t="s">
        <v>375</v>
      </c>
      <c r="H2196" s="1175">
        <v>3416</v>
      </c>
      <c r="I2196" s="1081" t="s">
        <v>292</v>
      </c>
      <c r="J2196" s="38" t="s">
        <v>883</v>
      </c>
      <c r="K2196" s="38"/>
      <c r="L2196" s="389"/>
      <c r="M2196" s="420"/>
      <c r="O2196" s="412"/>
      <c r="P2196" s="391"/>
      <c r="Q2196" s="393"/>
    </row>
    <row r="2197" spans="1:18" ht="30" customHeight="1" x14ac:dyDescent="0.25">
      <c r="A2197" s="695" t="s">
        <v>529</v>
      </c>
      <c r="B2197" s="883" t="s">
        <v>560</v>
      </c>
      <c r="C2197" s="884"/>
      <c r="D2197" s="885"/>
      <c r="E2197" s="1130" t="s">
        <v>519</v>
      </c>
      <c r="F2197" s="546" t="s">
        <v>561</v>
      </c>
      <c r="G2197" s="288" t="s">
        <v>562</v>
      </c>
      <c r="H2197" s="289"/>
      <c r="I2197" s="424" t="s">
        <v>530</v>
      </c>
      <c r="J2197" s="424"/>
      <c r="K2197" s="288" t="s">
        <v>521</v>
      </c>
      <c r="L2197" s="289"/>
      <c r="M2197" s="670"/>
      <c r="N2197" s="671"/>
      <c r="O2197" s="43"/>
      <c r="P2197" s="672"/>
      <c r="Q2197" s="671"/>
      <c r="R2197" s="673"/>
    </row>
    <row r="2198" spans="1:18" ht="45" customHeight="1" x14ac:dyDescent="0.25">
      <c r="A2198" s="24" t="s">
        <v>649</v>
      </c>
      <c r="B2198" s="346" t="s">
        <v>1620</v>
      </c>
      <c r="C2198" s="347"/>
      <c r="D2198" s="348"/>
      <c r="E2198" s="326">
        <f>222.42-2.42</f>
        <v>220</v>
      </c>
      <c r="F2198" s="10" t="s">
        <v>9</v>
      </c>
      <c r="G2198" s="1168"/>
      <c r="H2198" s="1041"/>
      <c r="I2198" s="10">
        <v>1.06</v>
      </c>
      <c r="J2198" s="10"/>
      <c r="K2198" s="326">
        <f>+E2198*I2198</f>
        <v>233.20000000000002</v>
      </c>
      <c r="L2198" s="10" t="s">
        <v>9</v>
      </c>
      <c r="M2198" s="420"/>
      <c r="O2198" s="412"/>
      <c r="P2198" s="391"/>
      <c r="Q2198" s="393"/>
    </row>
    <row r="2199" spans="1:18" ht="30" customHeight="1" x14ac:dyDescent="0.25">
      <c r="A2199" s="24" t="s">
        <v>760</v>
      </c>
      <c r="B2199" s="346" t="s">
        <v>1679</v>
      </c>
      <c r="C2199" s="347"/>
      <c r="D2199" s="348"/>
      <c r="E2199" s="622">
        <v>120000</v>
      </c>
      <c r="F2199" s="10" t="s">
        <v>11</v>
      </c>
      <c r="G2199" s="1176">
        <f>+H2196</f>
        <v>3416</v>
      </c>
      <c r="H2199" s="1174" t="s">
        <v>1680</v>
      </c>
      <c r="I2199" s="10">
        <v>1.02</v>
      </c>
      <c r="J2199" s="10"/>
      <c r="K2199" s="326">
        <f>+E2199/H2196*I2199*1</f>
        <v>35.831381733021082</v>
      </c>
      <c r="L2199" s="10" t="s">
        <v>9</v>
      </c>
      <c r="M2199" s="420"/>
      <c r="O2199" s="412"/>
      <c r="P2199" s="391"/>
      <c r="Q2199" s="393"/>
    </row>
    <row r="2200" spans="1:18" ht="30" customHeight="1" x14ac:dyDescent="0.25">
      <c r="A2200" s="24" t="s">
        <v>760</v>
      </c>
      <c r="B2200" s="346" t="s">
        <v>1681</v>
      </c>
      <c r="C2200" s="347"/>
      <c r="D2200" s="348"/>
      <c r="E2200" s="887">
        <f>+(228+250)/2</f>
        <v>239</v>
      </c>
      <c r="F2200" s="844" t="s">
        <v>7</v>
      </c>
      <c r="G2200" s="572">
        <f>150/H2196</f>
        <v>4.3911007025761124E-2</v>
      </c>
      <c r="H2200" s="1174" t="s">
        <v>1682</v>
      </c>
      <c r="I2200" s="10">
        <v>1.02</v>
      </c>
      <c r="J2200" s="10"/>
      <c r="K2200" s="326">
        <f>+E2200*(G2200)*I2200</f>
        <v>10.704625292740047</v>
      </c>
      <c r="L2200" s="10" t="s">
        <v>9</v>
      </c>
      <c r="M2200" s="986"/>
      <c r="N2200" s="420"/>
      <c r="O2200"/>
      <c r="P2200" s="412"/>
      <c r="Q2200" s="391"/>
      <c r="R2200" s="393"/>
    </row>
    <row r="2201" spans="1:18" ht="30" customHeight="1" x14ac:dyDescent="0.25">
      <c r="A2201" s="24" t="s">
        <v>760</v>
      </c>
      <c r="B2201" s="346" t="s">
        <v>762</v>
      </c>
      <c r="C2201" s="347"/>
      <c r="D2201" s="348"/>
      <c r="E2201" s="887">
        <f>+(22.2+44.75)/2</f>
        <v>33.475000000000001</v>
      </c>
      <c r="F2201" s="844" t="s">
        <v>7</v>
      </c>
      <c r="G2201" s="572">
        <f>150/H2196</f>
        <v>4.3911007025761124E-2</v>
      </c>
      <c r="H2201" s="1174" t="s">
        <v>1682</v>
      </c>
      <c r="I2201" s="10">
        <v>1.02</v>
      </c>
      <c r="J2201" s="10"/>
      <c r="K2201" s="326">
        <f>+E2201*(G2201)*I2201</f>
        <v>1.4993193793911008</v>
      </c>
      <c r="L2201" s="10" t="s">
        <v>9</v>
      </c>
      <c r="M2201" s="434"/>
      <c r="N2201" s="420"/>
      <c r="O2201"/>
      <c r="P2201" s="412"/>
      <c r="Q2201" s="391"/>
      <c r="R2201" s="393"/>
    </row>
    <row r="2202" spans="1:18" ht="30" customHeight="1" x14ac:dyDescent="0.25">
      <c r="A2202" s="24" t="s">
        <v>644</v>
      </c>
      <c r="B2202" s="323" t="s">
        <v>1683</v>
      </c>
      <c r="C2202" s="324"/>
      <c r="D2202" s="324"/>
      <c r="E2202" s="326">
        <v>4.5</v>
      </c>
      <c r="F2202" s="844" t="s">
        <v>9</v>
      </c>
      <c r="G2202" s="941"/>
      <c r="H2202" s="1174"/>
      <c r="I2202" s="10">
        <v>1.06</v>
      </c>
      <c r="J2202" s="10"/>
      <c r="K2202" s="326">
        <f>+E2202*I2202</f>
        <v>4.7700000000000005</v>
      </c>
      <c r="L2202" s="10" t="s">
        <v>9</v>
      </c>
      <c r="M2202" s="434"/>
      <c r="N2202" s="420"/>
      <c r="O2202"/>
      <c r="P2202" s="412"/>
      <c r="Q2202" s="391"/>
      <c r="R2202" s="393"/>
    </row>
    <row r="2203" spans="1:18" ht="30" customHeight="1" x14ac:dyDescent="0.25">
      <c r="A2203" s="24" t="s">
        <v>644</v>
      </c>
      <c r="B2203" s="323" t="s">
        <v>1684</v>
      </c>
      <c r="C2203" s="324"/>
      <c r="D2203" s="325"/>
      <c r="E2203" s="326">
        <f>0.15*E2202</f>
        <v>0.67499999999999993</v>
      </c>
      <c r="F2203" s="844" t="s">
        <v>9</v>
      </c>
      <c r="G2203" s="941"/>
      <c r="H2203" s="1174"/>
      <c r="I2203" s="10">
        <v>1.06</v>
      </c>
      <c r="J2203" s="10"/>
      <c r="K2203" s="326">
        <f>+E2203*I2203</f>
        <v>0.71549999999999991</v>
      </c>
      <c r="L2203" s="10" t="s">
        <v>9</v>
      </c>
      <c r="M2203" s="1157"/>
      <c r="N2203" s="420"/>
      <c r="O2203"/>
      <c r="P2203" s="412"/>
      <c r="Q2203" s="391"/>
      <c r="R2203" s="393"/>
    </row>
    <row r="2204" spans="1:18" ht="30" customHeight="1" x14ac:dyDescent="0.25">
      <c r="A2204" s="24" t="s">
        <v>644</v>
      </c>
      <c r="B2204" s="346" t="s">
        <v>1320</v>
      </c>
      <c r="C2204" s="347"/>
      <c r="D2204" s="348"/>
      <c r="E2204" s="14">
        <f xml:space="preserve"> 0.53+((1.06+1.57)/2)</f>
        <v>1.845</v>
      </c>
      <c r="F2204" s="844" t="s">
        <v>9</v>
      </c>
      <c r="G2204" s="941"/>
      <c r="H2204" s="1174"/>
      <c r="I2204" s="10">
        <v>1.06</v>
      </c>
      <c r="J2204" s="10"/>
      <c r="K2204" s="326">
        <f>+E2204*I2204</f>
        <v>1.9557</v>
      </c>
      <c r="L2204" s="10" t="s">
        <v>9</v>
      </c>
      <c r="M2204" s="434"/>
      <c r="N2204" s="420"/>
      <c r="O2204"/>
      <c r="P2204" s="412"/>
      <c r="Q2204" s="391"/>
      <c r="R2204" s="393"/>
    </row>
    <row r="2205" spans="1:18" ht="30" customHeight="1" x14ac:dyDescent="0.25">
      <c r="A2205" s="24"/>
      <c r="B2205" s="574"/>
      <c r="C2205" s="574"/>
      <c r="D2205" s="574"/>
      <c r="E2205" s="887"/>
      <c r="F2205" s="10"/>
      <c r="G2205" s="845"/>
      <c r="H2205" s="1177"/>
      <c r="I2205" s="10"/>
      <c r="J2205" s="10" t="s">
        <v>578</v>
      </c>
      <c r="K2205" s="326">
        <f>SUM(K2198:K2204)</f>
        <v>288.67652640515223</v>
      </c>
      <c r="L2205" s="10" t="s">
        <v>9</v>
      </c>
      <c r="M2205" s="434"/>
      <c r="N2205" s="420"/>
      <c r="O2205"/>
      <c r="P2205" s="412"/>
      <c r="Q2205" s="391"/>
      <c r="R2205" s="393"/>
    </row>
    <row r="2206" spans="1:18" ht="30" customHeight="1" x14ac:dyDescent="0.25">
      <c r="A2206" s="61"/>
      <c r="B2206" s="498"/>
      <c r="C2206" s="498"/>
      <c r="D2206" s="498"/>
      <c r="E2206" s="530"/>
      <c r="F2206" s="338" t="s">
        <v>533</v>
      </c>
      <c r="G2206" s="339" t="s">
        <v>534</v>
      </c>
      <c r="H2206" s="339"/>
      <c r="I2206" s="339"/>
      <c r="J2206" s="339"/>
      <c r="K2206" s="751">
        <v>1.08</v>
      </c>
      <c r="L2206" s="10"/>
      <c r="M2206" s="434"/>
      <c r="N2206" s="420"/>
      <c r="O2206"/>
      <c r="P2206" s="412"/>
      <c r="Q2206" s="391"/>
      <c r="R2206" s="393"/>
    </row>
    <row r="2207" spans="1:18" ht="30" customHeight="1" x14ac:dyDescent="0.25">
      <c r="A2207" s="61"/>
      <c r="B2207" s="498"/>
      <c r="C2207" s="498"/>
      <c r="D2207" s="498"/>
      <c r="E2207" s="530"/>
      <c r="F2207" s="343"/>
      <c r="G2207" s="344" t="s">
        <v>535</v>
      </c>
      <c r="H2207" s="344"/>
      <c r="I2207" s="344"/>
      <c r="J2207" s="344"/>
      <c r="K2207" s="340">
        <v>1.02</v>
      </c>
      <c r="L2207" s="10"/>
      <c r="M2207" s="434"/>
      <c r="N2207" s="420"/>
      <c r="O2207"/>
      <c r="P2207" s="412"/>
      <c r="Q2207" s="391"/>
      <c r="R2207" s="393"/>
    </row>
    <row r="2208" spans="1:18" ht="30" customHeight="1" x14ac:dyDescent="0.25">
      <c r="A2208" s="24"/>
      <c r="B2208" s="24"/>
      <c r="C2208" s="64"/>
      <c r="D2208" s="64"/>
      <c r="E2208" s="64"/>
      <c r="F2208" s="64"/>
      <c r="G2208" s="64"/>
      <c r="H2208" s="225"/>
      <c r="I2208" s="64"/>
      <c r="J2208" s="24" t="s">
        <v>358</v>
      </c>
      <c r="K2208" s="17">
        <f>+K2205*K2206/K2207</f>
        <v>305.65749854663181</v>
      </c>
      <c r="L2208" s="24" t="s">
        <v>9</v>
      </c>
      <c r="M2208" s="434"/>
      <c r="N2208" s="420"/>
      <c r="O2208"/>
      <c r="P2208" s="412"/>
      <c r="Q2208" s="391"/>
      <c r="R2208" s="393"/>
    </row>
    <row r="2209" spans="1:18" ht="30" customHeight="1" x14ac:dyDescent="0.25">
      <c r="A2209" s="446"/>
      <c r="B2209" s="446"/>
      <c r="C2209" s="444"/>
      <c r="D2209" s="444"/>
      <c r="E2209" s="444"/>
      <c r="F2209" s="444"/>
      <c r="H2209" s="1178"/>
      <c r="I2209" s="1179" t="s">
        <v>652</v>
      </c>
      <c r="J2209" s="447">
        <f>VLOOKUP(B2196,'Mil Cost Premiums for RUCs'!$A$4:$R$265,18,FALSE)</f>
        <v>1.3319480854780448</v>
      </c>
      <c r="K2209" s="17">
        <f>+K2208*J2209</f>
        <v>407.11992000119449</v>
      </c>
      <c r="L2209" s="24" t="s">
        <v>9</v>
      </c>
      <c r="M2209" s="434"/>
      <c r="N2209" s="420"/>
      <c r="O2209"/>
      <c r="P2209" s="412"/>
      <c r="Q2209" s="391"/>
      <c r="R2209" s="393"/>
    </row>
    <row r="2210" spans="1:18" ht="75" customHeight="1" x14ac:dyDescent="0.25">
      <c r="A2210" s="580" t="s">
        <v>538</v>
      </c>
      <c r="B2210" s="532"/>
      <c r="C2210" s="532"/>
      <c r="D2210" s="532"/>
      <c r="E2210" s="532"/>
      <c r="F2210" s="532"/>
      <c r="G2210" s="532"/>
      <c r="H2210" s="532"/>
      <c r="I2210" s="532"/>
      <c r="J2210" s="532"/>
      <c r="K2210" s="532"/>
      <c r="L2210" s="533"/>
      <c r="M2210" s="419"/>
      <c r="N2210" s="420"/>
      <c r="O2210"/>
      <c r="P2210" s="412"/>
      <c r="Q2210" s="391"/>
      <c r="R2210" s="393"/>
    </row>
    <row r="2211" spans="1:18" ht="30" customHeight="1" x14ac:dyDescent="0.25">
      <c r="A2211" s="1044" t="s">
        <v>539</v>
      </c>
      <c r="B2211" s="1045"/>
      <c r="C2211" s="1046"/>
      <c r="D2211" s="386" t="s">
        <v>1685</v>
      </c>
      <c r="E2211" s="849"/>
      <c r="F2211" s="849"/>
      <c r="G2211" s="849"/>
      <c r="H2211" s="849"/>
      <c r="I2211" s="849"/>
      <c r="J2211" s="849"/>
      <c r="K2211" s="849"/>
      <c r="L2211" s="850"/>
      <c r="M2211" s="419"/>
      <c r="N2211" s="420"/>
      <c r="O2211"/>
      <c r="P2211" s="412"/>
      <c r="Q2211" s="391"/>
      <c r="R2211" s="393"/>
    </row>
    <row r="2212" spans="1:18" s="49" customFormat="1" ht="30" customHeight="1" x14ac:dyDescent="0.25">
      <c r="A2212" s="1044" t="s">
        <v>541</v>
      </c>
      <c r="B2212" s="1045"/>
      <c r="C2212" s="1046"/>
      <c r="D2212" s="386" t="s">
        <v>1686</v>
      </c>
      <c r="E2212" s="849"/>
      <c r="F2212" s="849"/>
      <c r="G2212" s="849"/>
      <c r="H2212" s="849"/>
      <c r="I2212" s="849"/>
      <c r="J2212" s="849"/>
      <c r="K2212" s="849"/>
      <c r="L2212" s="850"/>
      <c r="M2212" s="425"/>
      <c r="N2212" s="420"/>
      <c r="P2212" s="412"/>
      <c r="Q2212" s="391"/>
      <c r="R2212" s="393"/>
    </row>
    <row r="2213" spans="1:18" s="25" customFormat="1" ht="30" customHeight="1" x14ac:dyDescent="0.25">
      <c r="A2213" s="1033" t="s">
        <v>543</v>
      </c>
      <c r="B2213" s="1034"/>
      <c r="C2213" s="1035"/>
      <c r="D2213" s="386" t="s">
        <v>1687</v>
      </c>
      <c r="E2213" s="849"/>
      <c r="F2213" s="849"/>
      <c r="G2213" s="849"/>
      <c r="H2213" s="849"/>
      <c r="I2213" s="849"/>
      <c r="J2213" s="849"/>
      <c r="K2213" s="849"/>
      <c r="L2213" s="850"/>
      <c r="M2213" s="419"/>
      <c r="N2213" s="420"/>
      <c r="P2213" s="566"/>
      <c r="Q2213" s="420"/>
      <c r="R2213" s="567"/>
    </row>
    <row r="2214" spans="1:18" ht="45" customHeight="1" x14ac:dyDescent="0.25">
      <c r="A2214" s="1044" t="s">
        <v>546</v>
      </c>
      <c r="B2214" s="1045"/>
      <c r="C2214" s="1046"/>
      <c r="D2214" s="386" t="s">
        <v>1688</v>
      </c>
      <c r="E2214" s="849"/>
      <c r="F2214" s="849"/>
      <c r="G2214" s="849"/>
      <c r="H2214" s="849"/>
      <c r="I2214" s="849"/>
      <c r="J2214" s="849"/>
      <c r="K2214" s="849"/>
      <c r="L2214" s="850"/>
      <c r="M2214" s="1907"/>
      <c r="O2214" s="412"/>
      <c r="P2214" s="391"/>
      <c r="Q2214" s="393"/>
    </row>
    <row r="2215" spans="1:18" ht="30" customHeight="1" x14ac:dyDescent="0.25">
      <c r="A2215" s="1044" t="s">
        <v>548</v>
      </c>
      <c r="B2215" s="1045"/>
      <c r="C2215" s="1046"/>
      <c r="D2215" s="386" t="s">
        <v>1689</v>
      </c>
      <c r="E2215" s="849"/>
      <c r="F2215" s="849"/>
      <c r="G2215" s="849"/>
      <c r="H2215" s="849"/>
      <c r="I2215" s="849"/>
      <c r="J2215" s="849"/>
      <c r="K2215" s="849"/>
      <c r="L2215" s="850"/>
      <c r="M2215" s="419"/>
      <c r="N2215" s="420"/>
      <c r="O2215"/>
      <c r="P2215" s="412"/>
      <c r="Q2215" s="391"/>
      <c r="R2215" s="393"/>
    </row>
    <row r="2216" spans="1:18" ht="30" customHeight="1" x14ac:dyDescent="0.25">
      <c r="A2216" s="1044" t="s">
        <v>550</v>
      </c>
      <c r="B2216" s="1045"/>
      <c r="C2216" s="1046"/>
      <c r="D2216" s="386" t="s">
        <v>1690</v>
      </c>
      <c r="E2216" s="849"/>
      <c r="F2216" s="849"/>
      <c r="G2216" s="849"/>
      <c r="H2216" s="849"/>
      <c r="I2216" s="849"/>
      <c r="J2216" s="849"/>
      <c r="K2216" s="849"/>
      <c r="L2216" s="850"/>
      <c r="M2216" s="419"/>
      <c r="N2216" s="420"/>
      <c r="O2216"/>
      <c r="P2216" s="412"/>
      <c r="Q2216" s="391"/>
      <c r="R2216" s="393"/>
    </row>
    <row r="2217" spans="1:18" ht="30" customHeight="1" x14ac:dyDescent="0.25">
      <c r="A2217" s="1044" t="s">
        <v>552</v>
      </c>
      <c r="B2217" s="1045"/>
      <c r="C2217" s="1046"/>
      <c r="D2217" s="386" t="s">
        <v>1691</v>
      </c>
      <c r="E2217" s="849"/>
      <c r="F2217" s="849"/>
      <c r="G2217" s="849"/>
      <c r="H2217" s="849"/>
      <c r="I2217" s="849"/>
      <c r="J2217" s="849"/>
      <c r="K2217" s="849"/>
      <c r="L2217" s="850"/>
      <c r="M2217" s="419"/>
      <c r="N2217" s="420"/>
      <c r="O2217"/>
      <c r="P2217" s="412"/>
      <c r="Q2217" s="391"/>
      <c r="R2217" s="393"/>
    </row>
    <row r="2218" spans="1:18" ht="75" customHeight="1" x14ac:dyDescent="0.25">
      <c r="A2218" s="1044" t="s">
        <v>553</v>
      </c>
      <c r="B2218" s="1045"/>
      <c r="C2218" s="1046"/>
      <c r="D2218" s="386" t="s">
        <v>660</v>
      </c>
      <c r="E2218" s="849"/>
      <c r="F2218" s="849"/>
      <c r="G2218" s="849"/>
      <c r="H2218" s="849"/>
      <c r="I2218" s="849"/>
      <c r="J2218" s="849"/>
      <c r="K2218" s="849"/>
      <c r="L2218" s="850"/>
      <c r="M2218" s="419"/>
      <c r="N2218" s="420"/>
      <c r="O2218"/>
      <c r="P2218" s="412"/>
      <c r="Q2218" s="391"/>
      <c r="R2218" s="393"/>
    </row>
    <row r="2219" spans="1:18" s="25" customFormat="1" ht="45" customHeight="1" thickBot="1" x14ac:dyDescent="0.3">
      <c r="A2219" s="1033" t="s">
        <v>556</v>
      </c>
      <c r="B2219" s="1034"/>
      <c r="C2219" s="1035"/>
      <c r="D2219" s="386" t="s">
        <v>1692</v>
      </c>
      <c r="E2219" s="849"/>
      <c r="F2219" s="849"/>
      <c r="G2219" s="849"/>
      <c r="H2219" s="849"/>
      <c r="I2219" s="849"/>
      <c r="J2219" s="849"/>
      <c r="K2219" s="849"/>
      <c r="L2219" s="850"/>
      <c r="M2219" s="419"/>
      <c r="N2219" s="420"/>
      <c r="P2219" s="566"/>
      <c r="Q2219" s="420"/>
      <c r="R2219" s="567"/>
    </row>
    <row r="2220" spans="1:18" ht="30" customHeight="1" thickBot="1" x14ac:dyDescent="0.3">
      <c r="A2220" s="76"/>
      <c r="B2220" s="77"/>
      <c r="C2220" s="77"/>
      <c r="D2220" s="77"/>
      <c r="E2220" s="77"/>
      <c r="F2220" s="77"/>
      <c r="G2220" s="77"/>
      <c r="H2220" s="77"/>
      <c r="I2220" s="77"/>
      <c r="J2220" s="77"/>
      <c r="K2220" s="77"/>
      <c r="L2220" s="78"/>
      <c r="M2220" s="419"/>
      <c r="N2220" s="420"/>
      <c r="O2220"/>
      <c r="P2220" s="412"/>
      <c r="Q2220" s="391"/>
      <c r="R2220" s="393"/>
    </row>
    <row r="2221" spans="1:18" ht="30" customHeight="1" x14ac:dyDescent="0.25">
      <c r="A2221" s="306" t="s">
        <v>288</v>
      </c>
      <c r="B2221" s="418">
        <v>3171</v>
      </c>
      <c r="C2221" s="953" t="s">
        <v>1693</v>
      </c>
      <c r="D2221" s="953"/>
      <c r="E2221" s="540" t="s">
        <v>291</v>
      </c>
      <c r="F2221" s="541" t="s">
        <v>9</v>
      </c>
      <c r="G2221" s="123" t="s">
        <v>375</v>
      </c>
      <c r="H2221" s="954">
        <v>11022</v>
      </c>
      <c r="I2221" s="540" t="s">
        <v>292</v>
      </c>
      <c r="J2221" s="38" t="s">
        <v>883</v>
      </c>
      <c r="K2221" s="38"/>
      <c r="L2221" s="389"/>
      <c r="M2221" s="419"/>
      <c r="N2221" s="420"/>
      <c r="O2221"/>
      <c r="P2221" s="412"/>
      <c r="Q2221" s="391"/>
      <c r="R2221" s="393"/>
    </row>
    <row r="2222" spans="1:18" ht="30" customHeight="1" x14ac:dyDescent="0.25">
      <c r="A2222" s="695" t="s">
        <v>529</v>
      </c>
      <c r="B2222" s="543" t="s">
        <v>560</v>
      </c>
      <c r="C2222" s="544"/>
      <c r="D2222" s="545"/>
      <c r="E2222" s="546" t="s">
        <v>519</v>
      </c>
      <c r="F2222" s="546" t="s">
        <v>561</v>
      </c>
      <c r="G2222" s="288" t="s">
        <v>562</v>
      </c>
      <c r="H2222" s="289"/>
      <c r="I2222" s="938" t="s">
        <v>1347</v>
      </c>
      <c r="J2222" s="424" t="s">
        <v>530</v>
      </c>
      <c r="K2222" s="288" t="s">
        <v>521</v>
      </c>
      <c r="L2222" s="289"/>
      <c r="M2222" s="419"/>
      <c r="N2222" s="420"/>
      <c r="O2222"/>
      <c r="P2222" s="412"/>
      <c r="Q2222" s="391"/>
      <c r="R2222" s="393"/>
    </row>
    <row r="2223" spans="1:18" ht="45" customHeight="1" x14ac:dyDescent="0.25">
      <c r="A2223" s="24" t="s">
        <v>1311</v>
      </c>
      <c r="B2223" s="346" t="s">
        <v>1651</v>
      </c>
      <c r="C2223" s="347"/>
      <c r="D2223" s="348"/>
      <c r="E2223" s="326">
        <f>90.12-2.42</f>
        <v>87.7</v>
      </c>
      <c r="F2223" s="10" t="s">
        <v>9</v>
      </c>
      <c r="G2223" s="939"/>
      <c r="H2223" s="698"/>
      <c r="I2223" s="940">
        <f>+E2223</f>
        <v>87.7</v>
      </c>
      <c r="J2223" s="10">
        <v>1.04</v>
      </c>
      <c r="K2223" s="700">
        <f t="shared" ref="K2223:K2230" si="42">+I2223*J2223</f>
        <v>91.208000000000013</v>
      </c>
      <c r="L2223" s="6" t="s">
        <v>9</v>
      </c>
      <c r="M2223" s="670"/>
      <c r="N2223" s="671"/>
      <c r="O2223" s="43"/>
      <c r="P2223" s="672"/>
      <c r="Q2223" s="671"/>
      <c r="R2223" s="673"/>
    </row>
    <row r="2224" spans="1:18" ht="30" customHeight="1" x14ac:dyDescent="0.25">
      <c r="A2224" s="24" t="s">
        <v>644</v>
      </c>
      <c r="B2224" s="346" t="s">
        <v>651</v>
      </c>
      <c r="C2224" s="347"/>
      <c r="D2224" s="348"/>
      <c r="E2224" s="364">
        <v>4.01</v>
      </c>
      <c r="F2224" s="10" t="s">
        <v>9</v>
      </c>
      <c r="G2224" s="941"/>
      <c r="H2224" s="922"/>
      <c r="I2224" s="942">
        <f>+E2224</f>
        <v>4.01</v>
      </c>
      <c r="J2224" s="10">
        <v>1.04</v>
      </c>
      <c r="K2224" s="700">
        <f t="shared" si="42"/>
        <v>4.1703999999999999</v>
      </c>
      <c r="L2224" s="6" t="s">
        <v>9</v>
      </c>
      <c r="M2224" s="419"/>
      <c r="N2224" s="420"/>
      <c r="O2224"/>
      <c r="P2224" s="412"/>
      <c r="Q2224" s="391"/>
      <c r="R2224" s="393"/>
    </row>
    <row r="2225" spans="1:18" ht="30" customHeight="1" x14ac:dyDescent="0.25">
      <c r="A2225" s="24" t="s">
        <v>664</v>
      </c>
      <c r="B2225" s="346" t="s">
        <v>1694</v>
      </c>
      <c r="C2225" s="347"/>
      <c r="D2225" s="348"/>
      <c r="E2225" s="14">
        <v>23.88</v>
      </c>
      <c r="F2225" s="844" t="s">
        <v>9</v>
      </c>
      <c r="G2225" s="589">
        <f>81*2*E2225</f>
        <v>3868.56</v>
      </c>
      <c r="H2225" s="922"/>
      <c r="I2225" s="942">
        <f>+G2225/H2221</f>
        <v>0.35098530212302664</v>
      </c>
      <c r="J2225" s="10">
        <v>1.01</v>
      </c>
      <c r="K2225" s="700">
        <f t="shared" si="42"/>
        <v>0.35449515514425689</v>
      </c>
      <c r="L2225" s="6" t="s">
        <v>9</v>
      </c>
      <c r="M2225" s="419"/>
      <c r="N2225" s="420"/>
      <c r="O2225"/>
      <c r="P2225" s="412"/>
      <c r="Q2225" s="391"/>
      <c r="R2225" s="393"/>
    </row>
    <row r="2226" spans="1:18" ht="30" customHeight="1" x14ac:dyDescent="0.25">
      <c r="A2226" s="24" t="s">
        <v>664</v>
      </c>
      <c r="B2226" s="346" t="s">
        <v>667</v>
      </c>
      <c r="C2226" s="347"/>
      <c r="D2226" s="348"/>
      <c r="E2226" s="14">
        <v>1905</v>
      </c>
      <c r="F2226" s="844"/>
      <c r="G2226" s="7">
        <f>+E2226*2</f>
        <v>3810</v>
      </c>
      <c r="H2226" s="922"/>
      <c r="I2226" s="942">
        <f>+G2226/H2221</f>
        <v>0.34567229178007619</v>
      </c>
      <c r="J2226" s="10">
        <v>1.01</v>
      </c>
      <c r="K2226" s="700">
        <f t="shared" si="42"/>
        <v>0.34912901469787694</v>
      </c>
      <c r="L2226" s="6" t="s">
        <v>9</v>
      </c>
      <c r="M2226" s="419"/>
      <c r="N2226" s="420"/>
      <c r="O2226"/>
      <c r="P2226" s="412"/>
      <c r="Q2226" s="391"/>
      <c r="R2226" s="393"/>
    </row>
    <row r="2227" spans="1:18" ht="30" customHeight="1" x14ac:dyDescent="0.25">
      <c r="A2227" s="24" t="s">
        <v>668</v>
      </c>
      <c r="B2227" s="138" t="s">
        <v>1695</v>
      </c>
      <c r="C2227" s="139"/>
      <c r="D2227" s="140"/>
      <c r="E2227" s="887">
        <f>+(31.5+75)/2</f>
        <v>53.25</v>
      </c>
      <c r="F2227" s="1140" t="s">
        <v>7</v>
      </c>
      <c r="G2227" s="1137">
        <v>20</v>
      </c>
      <c r="H2227" s="1138" t="s">
        <v>1528</v>
      </c>
      <c r="I2227" s="1139">
        <f>+E2227*G2227/H2221</f>
        <v>9.6624931954273269E-2</v>
      </c>
      <c r="J2227" s="24">
        <v>1.01</v>
      </c>
      <c r="K2227" s="1135">
        <f t="shared" si="42"/>
        <v>9.7591181273815997E-2</v>
      </c>
      <c r="L2227" s="826" t="s">
        <v>9</v>
      </c>
      <c r="M2227" s="419"/>
      <c r="N2227" s="420"/>
      <c r="O2227"/>
      <c r="P2227" s="412"/>
      <c r="Q2227" s="391"/>
      <c r="R2227" s="393"/>
    </row>
    <row r="2228" spans="1:18" ht="30" customHeight="1" x14ac:dyDescent="0.25">
      <c r="A2228" s="24" t="s">
        <v>668</v>
      </c>
      <c r="B2228" s="138" t="s">
        <v>1696</v>
      </c>
      <c r="C2228" s="139"/>
      <c r="D2228" s="140"/>
      <c r="E2228" s="887">
        <f>+(5900+11300)/2</f>
        <v>8600</v>
      </c>
      <c r="F2228" s="1140" t="s">
        <v>11</v>
      </c>
      <c r="G2228" s="1137">
        <v>2</v>
      </c>
      <c r="H2228" s="1138" t="s">
        <v>1353</v>
      </c>
      <c r="I2228" s="1139">
        <f>+E2228*2/H2221</f>
        <v>1.5605153329704229</v>
      </c>
      <c r="J2228" s="24">
        <v>1.01</v>
      </c>
      <c r="K2228" s="1135">
        <f t="shared" si="42"/>
        <v>1.576120486300127</v>
      </c>
      <c r="L2228" s="826" t="s">
        <v>9</v>
      </c>
      <c r="M2228" s="419"/>
      <c r="N2228" s="420"/>
      <c r="O2228"/>
      <c r="P2228" s="412"/>
      <c r="Q2228" s="391"/>
      <c r="R2228" s="393"/>
    </row>
    <row r="2229" spans="1:18" ht="30" customHeight="1" x14ac:dyDescent="0.25">
      <c r="A2229" s="24" t="s">
        <v>668</v>
      </c>
      <c r="B2229" s="138" t="s">
        <v>1697</v>
      </c>
      <c r="C2229" s="139"/>
      <c r="D2229" s="140"/>
      <c r="E2229" s="622">
        <f>+(605+925)/2</f>
        <v>765</v>
      </c>
      <c r="F2229" s="1140" t="s">
        <v>11</v>
      </c>
      <c r="G2229" s="1137">
        <v>2</v>
      </c>
      <c r="H2229" s="1138" t="s">
        <v>1353</v>
      </c>
      <c r="I2229" s="1139">
        <f>+E2229*2/H2221</f>
        <v>0.13881328252585737</v>
      </c>
      <c r="J2229" s="24">
        <v>1.01</v>
      </c>
      <c r="K2229" s="1135">
        <f t="shared" si="42"/>
        <v>0.14020141535111594</v>
      </c>
      <c r="L2229" s="826" t="s">
        <v>9</v>
      </c>
      <c r="M2229" s="419"/>
      <c r="N2229" s="420"/>
      <c r="O2229"/>
      <c r="P2229" s="412"/>
      <c r="Q2229" s="391"/>
      <c r="R2229" s="393"/>
    </row>
    <row r="2230" spans="1:18" ht="30" customHeight="1" x14ac:dyDescent="0.25">
      <c r="A2230" s="24" t="s">
        <v>668</v>
      </c>
      <c r="B2230" s="138" t="s">
        <v>1698</v>
      </c>
      <c r="C2230" s="139"/>
      <c r="D2230" s="140"/>
      <c r="E2230" s="887">
        <f>+(1060+3175)/2</f>
        <v>2117.5</v>
      </c>
      <c r="F2230" s="1140" t="s">
        <v>11</v>
      </c>
      <c r="G2230" s="1137">
        <v>2</v>
      </c>
      <c r="H2230" s="1138" t="s">
        <v>1353</v>
      </c>
      <c r="I2230" s="1139">
        <f>+E2230*2/H2221</f>
        <v>0.3842315369261477</v>
      </c>
      <c r="J2230" s="24">
        <v>1.01</v>
      </c>
      <c r="K2230" s="1135">
        <f t="shared" si="42"/>
        <v>0.38807385229540919</v>
      </c>
      <c r="L2230" s="826" t="s">
        <v>9</v>
      </c>
      <c r="M2230" s="419"/>
      <c r="N2230" s="420"/>
      <c r="O2230"/>
      <c r="P2230" s="412"/>
      <c r="Q2230" s="391"/>
      <c r="R2230" s="393"/>
    </row>
    <row r="2231" spans="1:18" ht="30" customHeight="1" x14ac:dyDescent="0.25">
      <c r="A2231" s="24"/>
      <c r="B2231" s="574"/>
      <c r="C2231" s="574"/>
      <c r="D2231" s="574"/>
      <c r="E2231" s="887"/>
      <c r="F2231" s="24"/>
      <c r="G2231" s="1143"/>
      <c r="H2231" s="889"/>
      <c r="I2231" s="889"/>
      <c r="J2231" s="24" t="s">
        <v>646</v>
      </c>
      <c r="K2231" s="887">
        <f>SUM(K2223:K2230)</f>
        <v>98.284011105062618</v>
      </c>
      <c r="L2231" s="826" t="s">
        <v>9</v>
      </c>
      <c r="M2231" s="419"/>
      <c r="N2231" s="420"/>
      <c r="O2231"/>
      <c r="P2231" s="412"/>
      <c r="Q2231" s="391"/>
      <c r="R2231" s="393"/>
    </row>
    <row r="2232" spans="1:18" ht="30" customHeight="1" x14ac:dyDescent="0.25">
      <c r="A2232" s="61"/>
      <c r="B2232" s="498"/>
      <c r="C2232" s="498"/>
      <c r="D2232" s="498"/>
      <c r="E2232" s="498"/>
      <c r="F2232" s="676" t="s">
        <v>533</v>
      </c>
      <c r="G2232" s="677" t="s">
        <v>534</v>
      </c>
      <c r="H2232" s="677"/>
      <c r="I2232" s="677"/>
      <c r="J2232" s="677"/>
      <c r="K2232" s="340">
        <v>1.0900000000000001</v>
      </c>
      <c r="L2232" s="24"/>
      <c r="M2232" s="419"/>
      <c r="N2232" s="420"/>
      <c r="O2232"/>
      <c r="P2232" s="412"/>
      <c r="Q2232" s="391"/>
      <c r="R2232" s="393"/>
    </row>
    <row r="2233" spans="1:18" ht="30" customHeight="1" x14ac:dyDescent="0.25">
      <c r="A2233" s="61"/>
      <c r="B2233" s="498"/>
      <c r="C2233" s="498"/>
      <c r="D2233" s="498"/>
      <c r="E2233" s="498"/>
      <c r="F2233" s="678"/>
      <c r="G2233" s="679" t="s">
        <v>535</v>
      </c>
      <c r="H2233" s="679"/>
      <c r="I2233" s="679"/>
      <c r="J2233" s="679"/>
      <c r="K2233" s="340">
        <v>1.02</v>
      </c>
      <c r="L2233" s="24"/>
      <c r="M2233" s="419"/>
      <c r="N2233" s="420"/>
      <c r="O2233"/>
      <c r="P2233" s="412"/>
      <c r="Q2233" s="391"/>
      <c r="R2233" s="393"/>
    </row>
    <row r="2234" spans="1:18" ht="30" customHeight="1" x14ac:dyDescent="0.25">
      <c r="A2234" s="1150"/>
      <c r="B2234" s="1151"/>
      <c r="C2234" s="1152"/>
      <c r="D2234" s="1152"/>
      <c r="E2234" s="1152"/>
      <c r="F2234" s="1152"/>
      <c r="G2234" s="1180"/>
      <c r="H2234" s="64"/>
      <c r="I2234" s="64"/>
      <c r="J2234" s="64" t="s">
        <v>358</v>
      </c>
      <c r="K2234" s="17">
        <f>+K2231*K2232/K2233</f>
        <v>105.02899225933163</v>
      </c>
      <c r="L2234" s="826" t="s">
        <v>9</v>
      </c>
      <c r="M2234" s="419"/>
      <c r="N2234" s="420"/>
      <c r="O2234"/>
      <c r="P2234" s="412"/>
      <c r="Q2234" s="391"/>
      <c r="R2234" s="393"/>
    </row>
    <row r="2235" spans="1:18" ht="30" customHeight="1" x14ac:dyDescent="0.25">
      <c r="A2235" s="1150"/>
      <c r="B2235" s="1154"/>
      <c r="C2235" s="1155"/>
      <c r="D2235" s="1155"/>
      <c r="E2235" s="1155"/>
      <c r="F2235" s="1155"/>
      <c r="H2235" s="64"/>
      <c r="I2235" s="1156" t="s">
        <v>652</v>
      </c>
      <c r="J2235" s="447">
        <f>VLOOKUP(B2221,'Mil Cost Premiums for RUCs'!$A$4:$R$265,18,FALSE)</f>
        <v>1.3319480854780448</v>
      </c>
      <c r="K2235" s="17">
        <f>+K2234*J2235</f>
        <v>139.89316515950514</v>
      </c>
      <c r="L2235" s="826" t="s">
        <v>9</v>
      </c>
      <c r="M2235" s="1914"/>
      <c r="N2235" s="671"/>
      <c r="O2235"/>
      <c r="P2235" s="412"/>
      <c r="Q2235" s="391"/>
      <c r="R2235" s="393"/>
    </row>
    <row r="2236" spans="1:18" ht="75" customHeight="1" x14ac:dyDescent="0.25">
      <c r="A2236" s="574" t="s">
        <v>538</v>
      </c>
      <c r="B2236" s="574"/>
      <c r="C2236" s="574"/>
      <c r="D2236" s="574"/>
      <c r="E2236" s="574"/>
      <c r="F2236" s="574"/>
      <c r="G2236" s="574"/>
      <c r="H2236" s="574"/>
      <c r="I2236" s="574"/>
      <c r="J2236" s="574"/>
      <c r="K2236" s="574"/>
      <c r="L2236" s="574"/>
      <c r="M2236" s="1906"/>
      <c r="N2236" s="671"/>
      <c r="O2236"/>
      <c r="P2236" s="412"/>
      <c r="Q2236" s="391"/>
      <c r="R2236" s="393"/>
    </row>
    <row r="2237" spans="1:18" ht="30" customHeight="1" x14ac:dyDescent="0.25">
      <c r="A2237" s="28" t="s">
        <v>539</v>
      </c>
      <c r="B2237" s="28"/>
      <c r="C2237" s="28"/>
      <c r="D2237" s="148" t="s">
        <v>1699</v>
      </c>
      <c r="E2237" s="148"/>
      <c r="F2237" s="148"/>
      <c r="G2237" s="148"/>
      <c r="H2237" s="148"/>
      <c r="I2237" s="148"/>
      <c r="J2237" s="148"/>
      <c r="K2237" s="148"/>
      <c r="L2237" s="148"/>
      <c r="M2237" s="671"/>
      <c r="N2237" s="43"/>
      <c r="O2237" s="412"/>
      <c r="P2237" s="391"/>
      <c r="Q2237" s="393"/>
    </row>
    <row r="2238" spans="1:18" s="49" customFormat="1" ht="30" customHeight="1" x14ac:dyDescent="0.25">
      <c r="A2238" s="28" t="s">
        <v>541</v>
      </c>
      <c r="B2238" s="28"/>
      <c r="C2238" s="28"/>
      <c r="D2238" s="148" t="s">
        <v>1700</v>
      </c>
      <c r="E2238" s="148"/>
      <c r="F2238" s="148"/>
      <c r="G2238" s="148"/>
      <c r="H2238" s="148"/>
      <c r="I2238" s="148"/>
      <c r="J2238" s="148"/>
      <c r="K2238" s="148"/>
      <c r="L2238" s="148"/>
      <c r="M2238" s="420"/>
      <c r="N2238" s="502"/>
      <c r="O2238" s="412"/>
      <c r="P2238" s="391"/>
      <c r="Q2238" s="393"/>
    </row>
    <row r="2239" spans="1:18" ht="30" customHeight="1" x14ac:dyDescent="0.25">
      <c r="A2239" s="28" t="s">
        <v>543</v>
      </c>
      <c r="B2239" s="28"/>
      <c r="C2239" s="28"/>
      <c r="D2239" s="148" t="s">
        <v>1701</v>
      </c>
      <c r="E2239" s="148"/>
      <c r="F2239" s="148"/>
      <c r="G2239" s="148"/>
      <c r="H2239" s="148"/>
      <c r="I2239" s="148"/>
      <c r="J2239" s="148"/>
      <c r="K2239" s="148"/>
      <c r="L2239" s="148"/>
      <c r="M2239" s="420"/>
      <c r="O2239" s="412"/>
      <c r="P2239" s="391"/>
      <c r="Q2239" s="393"/>
    </row>
    <row r="2240" spans="1:18" ht="30" customHeight="1" x14ac:dyDescent="0.25">
      <c r="A2240" s="28" t="s">
        <v>546</v>
      </c>
      <c r="B2240" s="28"/>
      <c r="C2240" s="28"/>
      <c r="D2240" s="148" t="s">
        <v>1702</v>
      </c>
      <c r="E2240" s="148"/>
      <c r="F2240" s="148"/>
      <c r="G2240" s="148"/>
      <c r="H2240" s="148"/>
      <c r="I2240" s="148"/>
      <c r="J2240" s="148"/>
      <c r="K2240" s="148"/>
      <c r="L2240" s="148"/>
      <c r="M2240" s="671"/>
      <c r="O2240" s="412"/>
      <c r="P2240" s="391"/>
      <c r="Q2240" s="393"/>
    </row>
    <row r="2241" spans="1:18" ht="75" customHeight="1" x14ac:dyDescent="0.25">
      <c r="A2241" s="28" t="s">
        <v>548</v>
      </c>
      <c r="B2241" s="28"/>
      <c r="C2241" s="28"/>
      <c r="D2241" s="148" t="s">
        <v>1703</v>
      </c>
      <c r="E2241" s="148"/>
      <c r="F2241" s="148"/>
      <c r="G2241" s="148"/>
      <c r="H2241" s="148"/>
      <c r="I2241" s="148"/>
      <c r="J2241" s="148"/>
      <c r="K2241" s="148"/>
      <c r="L2241" s="148"/>
      <c r="M2241" s="420"/>
      <c r="O2241" s="412"/>
      <c r="P2241" s="391"/>
      <c r="Q2241" s="393"/>
    </row>
    <row r="2242" spans="1:18" ht="30" customHeight="1" x14ac:dyDescent="0.25">
      <c r="A2242" s="28" t="s">
        <v>550</v>
      </c>
      <c r="B2242" s="28"/>
      <c r="C2242" s="28"/>
      <c r="D2242" s="148" t="s">
        <v>1704</v>
      </c>
      <c r="E2242" s="148"/>
      <c r="F2242" s="148"/>
      <c r="G2242" s="148"/>
      <c r="H2242" s="148"/>
      <c r="I2242" s="148"/>
      <c r="J2242" s="148"/>
      <c r="K2242" s="148"/>
      <c r="L2242" s="148"/>
      <c r="M2242" s="420"/>
      <c r="O2242" s="412"/>
      <c r="P2242" s="391"/>
      <c r="Q2242" s="393"/>
    </row>
    <row r="2243" spans="1:18" ht="30" customHeight="1" x14ac:dyDescent="0.25">
      <c r="A2243" s="28" t="s">
        <v>552</v>
      </c>
      <c r="B2243" s="28"/>
      <c r="C2243" s="28"/>
      <c r="D2243" s="148" t="s">
        <v>1705</v>
      </c>
      <c r="E2243" s="148"/>
      <c r="F2243" s="148"/>
      <c r="G2243" s="148"/>
      <c r="H2243" s="148"/>
      <c r="I2243" s="148"/>
      <c r="J2243" s="148"/>
      <c r="K2243" s="148"/>
      <c r="L2243" s="148"/>
      <c r="M2243" s="420"/>
      <c r="O2243" s="412"/>
      <c r="P2243" s="391"/>
      <c r="Q2243" s="393"/>
    </row>
    <row r="2244" spans="1:18" ht="75" customHeight="1" x14ac:dyDescent="0.25">
      <c r="A2244" s="28" t="s">
        <v>553</v>
      </c>
      <c r="B2244" s="28"/>
      <c r="C2244" s="28"/>
      <c r="D2244" s="148" t="s">
        <v>660</v>
      </c>
      <c r="E2244" s="148"/>
      <c r="F2244" s="148"/>
      <c r="G2244" s="148"/>
      <c r="H2244" s="148"/>
      <c r="I2244" s="148"/>
      <c r="J2244" s="148"/>
      <c r="K2244" s="148"/>
      <c r="L2244" s="148"/>
      <c r="M2244" s="420"/>
      <c r="O2244" s="412"/>
      <c r="P2244" s="391"/>
      <c r="Q2244" s="393"/>
    </row>
    <row r="2245" spans="1:18" ht="60" customHeight="1" thickBot="1" x14ac:dyDescent="0.3">
      <c r="A2245" s="1860" t="s">
        <v>556</v>
      </c>
      <c r="B2245" s="1860"/>
      <c r="C2245" s="1860"/>
      <c r="D2245" s="1861" t="s">
        <v>1706</v>
      </c>
      <c r="E2245" s="1861"/>
      <c r="F2245" s="1861"/>
      <c r="G2245" s="1861"/>
      <c r="H2245" s="1861"/>
      <c r="I2245" s="1861"/>
      <c r="J2245" s="1861"/>
      <c r="K2245" s="1861"/>
      <c r="L2245" s="1861"/>
      <c r="M2245" s="420"/>
      <c r="O2245" s="412"/>
      <c r="P2245" s="391"/>
      <c r="Q2245" s="393"/>
    </row>
    <row r="2246" spans="1:18" ht="30" customHeight="1" thickBot="1" x14ac:dyDescent="0.3">
      <c r="A2246" s="76"/>
      <c r="B2246" s="77"/>
      <c r="C2246" s="77"/>
      <c r="D2246" s="77"/>
      <c r="E2246" s="77"/>
      <c r="F2246" s="77"/>
      <c r="G2246" s="77"/>
      <c r="H2246" s="77"/>
      <c r="I2246" s="77"/>
      <c r="J2246" s="77"/>
      <c r="K2246" s="77"/>
      <c r="L2246" s="78"/>
      <c r="M2246" s="420"/>
      <c r="O2246" s="412"/>
      <c r="P2246" s="391"/>
      <c r="Q2246" s="393"/>
    </row>
    <row r="2247" spans="1:18" ht="30" customHeight="1" x14ac:dyDescent="0.25">
      <c r="A2247" s="306" t="s">
        <v>288</v>
      </c>
      <c r="B2247" s="418">
        <v>3181</v>
      </c>
      <c r="C2247" s="691" t="s">
        <v>1707</v>
      </c>
      <c r="D2247" s="692"/>
      <c r="E2247" s="540" t="s">
        <v>291</v>
      </c>
      <c r="F2247" s="541" t="s">
        <v>9</v>
      </c>
      <c r="G2247" s="1081" t="s">
        <v>1708</v>
      </c>
      <c r="H2247" s="542">
        <v>9903</v>
      </c>
      <c r="I2247" s="540" t="s">
        <v>292</v>
      </c>
      <c r="J2247" s="488" t="s">
        <v>617</v>
      </c>
      <c r="K2247" s="488"/>
      <c r="L2247" s="489"/>
      <c r="M2247" s="420"/>
      <c r="O2247" s="412"/>
      <c r="P2247" s="391"/>
      <c r="Q2247" s="393"/>
    </row>
    <row r="2248" spans="1:18" ht="30" customHeight="1" x14ac:dyDescent="0.25">
      <c r="A2248" s="695" t="s">
        <v>529</v>
      </c>
      <c r="B2248" s="543" t="s">
        <v>560</v>
      </c>
      <c r="C2248" s="544"/>
      <c r="D2248" s="545"/>
      <c r="E2248" s="546" t="s">
        <v>519</v>
      </c>
      <c r="F2248" s="546" t="s">
        <v>561</v>
      </c>
      <c r="G2248" s="547" t="s">
        <v>562</v>
      </c>
      <c r="H2248" s="548"/>
      <c r="I2248" s="938" t="s">
        <v>1661</v>
      </c>
      <c r="J2248" s="424" t="s">
        <v>530</v>
      </c>
      <c r="K2248" s="288" t="s">
        <v>521</v>
      </c>
      <c r="L2248" s="289"/>
      <c r="M2248" s="420"/>
      <c r="O2248" s="412"/>
      <c r="P2248" s="391"/>
      <c r="Q2248" s="393"/>
    </row>
    <row r="2249" spans="1:18" ht="30" customHeight="1" x14ac:dyDescent="0.25">
      <c r="A2249" s="24" t="s">
        <v>649</v>
      </c>
      <c r="B2249" s="346" t="s">
        <v>1709</v>
      </c>
      <c r="C2249" s="347"/>
      <c r="D2249" s="348"/>
      <c r="E2249" s="326">
        <f>222.42-2.42</f>
        <v>220</v>
      </c>
      <c r="F2249" s="10" t="s">
        <v>9</v>
      </c>
      <c r="G2249" s="1168"/>
      <c r="H2249" s="1041"/>
      <c r="I2249" s="1041"/>
      <c r="J2249" s="10">
        <v>1.01</v>
      </c>
      <c r="K2249" s="326">
        <f>+E2249*J2249</f>
        <v>222.2</v>
      </c>
      <c r="L2249" s="10" t="s">
        <v>9</v>
      </c>
      <c r="M2249" s="670"/>
      <c r="N2249" s="671"/>
      <c r="O2249" s="43"/>
      <c r="P2249" s="672"/>
      <c r="Q2249" s="671"/>
      <c r="R2249" s="673"/>
    </row>
    <row r="2250" spans="1:18" ht="30" customHeight="1" x14ac:dyDescent="0.25">
      <c r="A2250" s="24" t="s">
        <v>760</v>
      </c>
      <c r="B2250" s="346" t="s">
        <v>1710</v>
      </c>
      <c r="C2250" s="347"/>
      <c r="D2250" s="348"/>
      <c r="E2250" s="364">
        <v>132000</v>
      </c>
      <c r="F2250" s="24" t="s">
        <v>11</v>
      </c>
      <c r="G2250" s="463">
        <f>+H2247</f>
        <v>9903</v>
      </c>
      <c r="H2250" s="889" t="s">
        <v>1468</v>
      </c>
      <c r="I2250" s="889"/>
      <c r="J2250" s="24">
        <v>1.02</v>
      </c>
      <c r="K2250" s="887">
        <f>+E2250/G2250*J2250*1</f>
        <v>13.59588003635262</v>
      </c>
      <c r="L2250" s="24" t="s">
        <v>9</v>
      </c>
      <c r="M2250" s="671"/>
      <c r="N2250" s="43"/>
      <c r="O2250" s="412"/>
      <c r="P2250" s="391"/>
      <c r="Q2250" s="393"/>
    </row>
    <row r="2251" spans="1:18" ht="30" customHeight="1" x14ac:dyDescent="0.25">
      <c r="A2251" s="24" t="s">
        <v>760</v>
      </c>
      <c r="B2251" s="346" t="s">
        <v>762</v>
      </c>
      <c r="C2251" s="347"/>
      <c r="D2251" s="348"/>
      <c r="E2251" s="14">
        <f>+(22.2+44.75)/2</f>
        <v>33.475000000000001</v>
      </c>
      <c r="F2251" s="1140" t="s">
        <v>7</v>
      </c>
      <c r="G2251" s="463">
        <f>260/H2247</f>
        <v>2.6254670301928709E-2</v>
      </c>
      <c r="H2251" s="889" t="s">
        <v>1711</v>
      </c>
      <c r="I2251" s="889"/>
      <c r="J2251" s="24">
        <v>1.02</v>
      </c>
      <c r="K2251" s="887">
        <f>+E2251*G2251*J2251</f>
        <v>0.89645259012420475</v>
      </c>
      <c r="L2251" s="24" t="s">
        <v>9</v>
      </c>
      <c r="M2251" s="671"/>
      <c r="N2251" s="43"/>
      <c r="O2251" s="412"/>
      <c r="P2251" s="391"/>
      <c r="Q2251" s="393"/>
    </row>
    <row r="2252" spans="1:18" ht="30" customHeight="1" x14ac:dyDescent="0.25">
      <c r="A2252" s="24" t="s">
        <v>760</v>
      </c>
      <c r="B2252" s="346" t="s">
        <v>1712</v>
      </c>
      <c r="C2252" s="347"/>
      <c r="D2252" s="348"/>
      <c r="E2252" s="326">
        <f>+(228+250)/2</f>
        <v>239</v>
      </c>
      <c r="F2252" s="1140" t="s">
        <v>7</v>
      </c>
      <c r="G2252" s="463">
        <f>260/H2247</f>
        <v>2.6254670301928709E-2</v>
      </c>
      <c r="H2252" s="889" t="s">
        <v>1711</v>
      </c>
      <c r="I2252" s="889"/>
      <c r="J2252" s="24">
        <v>1.02</v>
      </c>
      <c r="K2252" s="887">
        <f>+E2252*G2252*J2252</f>
        <v>6.4003635262041803</v>
      </c>
      <c r="L2252" s="24" t="s">
        <v>9</v>
      </c>
      <c r="M2252" s="1117"/>
      <c r="N2252" s="671"/>
      <c r="O2252"/>
      <c r="P2252" s="412"/>
      <c r="Q2252" s="391"/>
      <c r="R2252" s="393"/>
    </row>
    <row r="2253" spans="1:18" ht="30" customHeight="1" x14ac:dyDescent="0.25">
      <c r="A2253" s="24" t="s">
        <v>664</v>
      </c>
      <c r="B2253" s="138" t="s">
        <v>1713</v>
      </c>
      <c r="C2253" s="139"/>
      <c r="D2253" s="140"/>
      <c r="E2253" s="887">
        <v>23.88</v>
      </c>
      <c r="F2253" s="1140" t="s">
        <v>9</v>
      </c>
      <c r="G2253" s="1181">
        <v>81</v>
      </c>
      <c r="H2253" s="1138" t="s">
        <v>1667</v>
      </c>
      <c r="I2253" s="1139">
        <f t="shared" ref="I2253:I2258" si="43">+E2253*G2253/$H$2247</f>
        <v>0.19532262950621024</v>
      </c>
      <c r="J2253" s="24">
        <v>1.01</v>
      </c>
      <c r="K2253" s="887">
        <f t="shared" ref="K2253:K2258" si="44">+I2253*J2253</f>
        <v>0.19727585580127235</v>
      </c>
      <c r="L2253" s="24" t="s">
        <v>9</v>
      </c>
      <c r="M2253" s="105"/>
      <c r="N2253" s="671"/>
      <c r="O2253"/>
      <c r="P2253" s="412"/>
      <c r="Q2253" s="391"/>
      <c r="R2253" s="393"/>
    </row>
    <row r="2254" spans="1:18" ht="30" customHeight="1" x14ac:dyDescent="0.25">
      <c r="A2254" s="24" t="s">
        <v>664</v>
      </c>
      <c r="B2254" s="138" t="s">
        <v>1638</v>
      </c>
      <c r="C2254" s="139"/>
      <c r="D2254" s="140"/>
      <c r="E2254" s="887">
        <v>1905</v>
      </c>
      <c r="F2254" s="1140" t="s">
        <v>11</v>
      </c>
      <c r="G2254" s="1181">
        <v>1</v>
      </c>
      <c r="H2254" s="1138"/>
      <c r="I2254" s="1139">
        <f t="shared" si="43"/>
        <v>0.19236594971220841</v>
      </c>
      <c r="J2254" s="24">
        <v>1.01</v>
      </c>
      <c r="K2254" s="887">
        <f t="shared" si="44"/>
        <v>0.1942896092093305</v>
      </c>
      <c r="L2254" s="24" t="s">
        <v>9</v>
      </c>
      <c r="M2254" s="105"/>
      <c r="N2254" s="671"/>
      <c r="O2254"/>
      <c r="P2254" s="412"/>
      <c r="Q2254" s="391"/>
      <c r="R2254" s="393"/>
    </row>
    <row r="2255" spans="1:18" ht="30" customHeight="1" x14ac:dyDescent="0.25">
      <c r="A2255" s="24" t="s">
        <v>668</v>
      </c>
      <c r="B2255" s="138" t="s">
        <v>1714</v>
      </c>
      <c r="C2255" s="139"/>
      <c r="D2255" s="140"/>
      <c r="E2255" s="887">
        <v>53.25</v>
      </c>
      <c r="F2255" s="1140" t="s">
        <v>7</v>
      </c>
      <c r="G2255" s="1181">
        <v>10</v>
      </c>
      <c r="H2255" s="1138"/>
      <c r="I2255" s="1139">
        <f t="shared" si="43"/>
        <v>5.3771584368373218E-2</v>
      </c>
      <c r="J2255" s="24">
        <v>1.01</v>
      </c>
      <c r="K2255" s="887">
        <f t="shared" si="44"/>
        <v>5.4309300212056953E-2</v>
      </c>
      <c r="L2255" s="24" t="s">
        <v>9</v>
      </c>
      <c r="M2255" s="105"/>
      <c r="N2255" s="671"/>
      <c r="O2255"/>
      <c r="P2255" s="412"/>
      <c r="Q2255" s="391"/>
      <c r="R2255" s="393"/>
    </row>
    <row r="2256" spans="1:18" ht="30" customHeight="1" x14ac:dyDescent="0.25">
      <c r="A2256" s="24" t="s">
        <v>668</v>
      </c>
      <c r="B2256" s="138" t="s">
        <v>671</v>
      </c>
      <c r="C2256" s="139"/>
      <c r="D2256" s="140"/>
      <c r="E2256" s="887">
        <v>8600</v>
      </c>
      <c r="F2256" s="1140" t="s">
        <v>11</v>
      </c>
      <c r="G2256" s="1181">
        <v>1</v>
      </c>
      <c r="H2256" s="1138"/>
      <c r="I2256" s="1139">
        <f t="shared" si="43"/>
        <v>0.86842370998687268</v>
      </c>
      <c r="J2256" s="24">
        <v>1.01</v>
      </c>
      <c r="K2256" s="887">
        <f t="shared" si="44"/>
        <v>0.87710794708674145</v>
      </c>
      <c r="L2256" s="24" t="s">
        <v>9</v>
      </c>
      <c r="M2256" s="105"/>
      <c r="N2256" s="671"/>
      <c r="O2256"/>
      <c r="P2256" s="412"/>
      <c r="Q2256" s="391"/>
      <c r="R2256" s="393"/>
    </row>
    <row r="2257" spans="1:18" ht="30" customHeight="1" x14ac:dyDescent="0.25">
      <c r="A2257" s="24" t="s">
        <v>668</v>
      </c>
      <c r="B2257" s="138" t="s">
        <v>1715</v>
      </c>
      <c r="C2257" s="139"/>
      <c r="D2257" s="140"/>
      <c r="E2257" s="887">
        <v>765</v>
      </c>
      <c r="F2257" s="1140" t="s">
        <v>11</v>
      </c>
      <c r="G2257" s="1181">
        <v>1</v>
      </c>
      <c r="H2257" s="1138"/>
      <c r="I2257" s="1139">
        <f t="shared" si="43"/>
        <v>7.7249318388367155E-2</v>
      </c>
      <c r="J2257" s="24">
        <v>1.01</v>
      </c>
      <c r="K2257" s="887">
        <f t="shared" si="44"/>
        <v>7.8021811572250827E-2</v>
      </c>
      <c r="L2257" s="24" t="s">
        <v>9</v>
      </c>
      <c r="M2257" s="105"/>
      <c r="N2257" s="671"/>
      <c r="O2257"/>
      <c r="P2257" s="412"/>
      <c r="Q2257" s="391"/>
      <c r="R2257" s="393"/>
    </row>
    <row r="2258" spans="1:18" ht="30" customHeight="1" x14ac:dyDescent="0.25">
      <c r="A2258" s="10" t="s">
        <v>668</v>
      </c>
      <c r="B2258" s="346" t="s">
        <v>673</v>
      </c>
      <c r="C2258" s="347"/>
      <c r="D2258" s="348"/>
      <c r="E2258" s="326">
        <f>+(1060+3175)/2</f>
        <v>2117.5</v>
      </c>
      <c r="F2258" s="844" t="s">
        <v>11</v>
      </c>
      <c r="G2258" s="438">
        <v>1</v>
      </c>
      <c r="H2258" s="922"/>
      <c r="I2258" s="942">
        <f t="shared" si="43"/>
        <v>0.21382409370897706</v>
      </c>
      <c r="J2258" s="10">
        <v>1.01</v>
      </c>
      <c r="K2258" s="326">
        <f t="shared" si="44"/>
        <v>0.21596233464606684</v>
      </c>
      <c r="L2258" s="10" t="s">
        <v>9</v>
      </c>
      <c r="M2258" s="1356"/>
      <c r="N2258" s="671"/>
      <c r="O2258"/>
      <c r="P2258" s="412"/>
      <c r="Q2258" s="391"/>
      <c r="R2258" s="393"/>
    </row>
    <row r="2259" spans="1:18" ht="30" customHeight="1" x14ac:dyDescent="0.25">
      <c r="A2259" s="10" t="s">
        <v>644</v>
      </c>
      <c r="B2259" s="323" t="s">
        <v>1716</v>
      </c>
      <c r="C2259" s="324"/>
      <c r="D2259" s="324"/>
      <c r="E2259" s="326">
        <v>3.06</v>
      </c>
      <c r="F2259" s="844" t="s">
        <v>9</v>
      </c>
      <c r="G2259" s="941"/>
      <c r="H2259" s="922"/>
      <c r="I2259" s="922"/>
      <c r="J2259" s="10">
        <v>1.01</v>
      </c>
      <c r="K2259" s="326">
        <f>+E2259*J2259</f>
        <v>3.0906000000000002</v>
      </c>
      <c r="L2259" s="10" t="s">
        <v>9</v>
      </c>
      <c r="M2259" s="105"/>
      <c r="N2259" s="671"/>
      <c r="O2259"/>
      <c r="P2259" s="412"/>
      <c r="Q2259" s="391"/>
      <c r="R2259" s="393"/>
    </row>
    <row r="2260" spans="1:18" ht="30" customHeight="1" x14ac:dyDescent="0.25">
      <c r="A2260" s="10" t="s">
        <v>644</v>
      </c>
      <c r="B2260" s="346" t="s">
        <v>1717</v>
      </c>
      <c r="C2260" s="347"/>
      <c r="D2260" s="348"/>
      <c r="E2260" s="326">
        <f>0.15*E2259</f>
        <v>0.45899999999999996</v>
      </c>
      <c r="F2260" s="844" t="s">
        <v>9</v>
      </c>
      <c r="G2260" s="941"/>
      <c r="H2260" s="922"/>
      <c r="I2260" s="922"/>
      <c r="J2260" s="10">
        <v>1.01</v>
      </c>
      <c r="K2260" s="326">
        <f>+E2260*J2260</f>
        <v>0.46358999999999995</v>
      </c>
      <c r="L2260" s="10" t="s">
        <v>9</v>
      </c>
      <c r="M2260" s="105"/>
      <c r="N2260" s="671"/>
      <c r="O2260"/>
      <c r="P2260" s="412"/>
      <c r="Q2260" s="391"/>
      <c r="R2260" s="393"/>
    </row>
    <row r="2261" spans="1:18" ht="30" customHeight="1" x14ac:dyDescent="0.25">
      <c r="A2261" s="10" t="s">
        <v>644</v>
      </c>
      <c r="B2261" s="346" t="s">
        <v>1320</v>
      </c>
      <c r="C2261" s="347"/>
      <c r="D2261" s="348"/>
      <c r="E2261" s="14">
        <f xml:space="preserve"> 0.53+((1.06+1.57)/2)</f>
        <v>1.845</v>
      </c>
      <c r="F2261" s="844" t="s">
        <v>9</v>
      </c>
      <c r="G2261" s="941"/>
      <c r="H2261" s="922"/>
      <c r="I2261" s="922"/>
      <c r="J2261" s="10">
        <v>1.01</v>
      </c>
      <c r="K2261" s="326">
        <f>+E2261*J2261</f>
        <v>1.8634500000000001</v>
      </c>
      <c r="L2261" s="10" t="s">
        <v>9</v>
      </c>
      <c r="M2261" s="105"/>
      <c r="N2261" s="671"/>
      <c r="O2261"/>
      <c r="P2261" s="412"/>
      <c r="Q2261" s="391"/>
      <c r="R2261" s="393"/>
    </row>
    <row r="2262" spans="1:18" ht="30" customHeight="1" x14ac:dyDescent="0.25">
      <c r="A2262" s="10"/>
      <c r="B2262" s="701"/>
      <c r="C2262" s="701"/>
      <c r="D2262" s="701"/>
      <c r="E2262" s="326"/>
      <c r="F2262" s="10"/>
      <c r="G2262" s="845"/>
      <c r="H2262" s="846"/>
      <c r="I2262" s="846"/>
      <c r="J2262" s="10" t="s">
        <v>578</v>
      </c>
      <c r="K2262" s="326">
        <f>SUM(K2249:K2261)</f>
        <v>250.12730301120871</v>
      </c>
      <c r="L2262" s="10" t="s">
        <v>9</v>
      </c>
      <c r="M2262" s="1906"/>
      <c r="N2262" s="671"/>
      <c r="O2262"/>
      <c r="P2262" s="412"/>
      <c r="Q2262" s="391"/>
      <c r="R2262" s="393"/>
    </row>
    <row r="2263" spans="1:18" ht="30" customHeight="1" x14ac:dyDescent="0.25">
      <c r="A2263" s="20"/>
      <c r="B2263" s="410"/>
      <c r="C2263" s="410"/>
      <c r="D2263" s="410"/>
      <c r="E2263" s="410"/>
      <c r="F2263" s="338" t="s">
        <v>533</v>
      </c>
      <c r="G2263" s="339" t="s">
        <v>534</v>
      </c>
      <c r="H2263" s="339"/>
      <c r="I2263" s="339"/>
      <c r="J2263" s="339"/>
      <c r="K2263" s="340">
        <v>1.0900000000000001</v>
      </c>
      <c r="L2263" s="10"/>
      <c r="M2263" s="671"/>
      <c r="N2263" s="43"/>
      <c r="O2263" s="412"/>
      <c r="P2263" s="391"/>
      <c r="Q2263" s="393"/>
    </row>
    <row r="2264" spans="1:18" s="49" customFormat="1" ht="30" customHeight="1" x14ac:dyDescent="0.25">
      <c r="A2264" s="20"/>
      <c r="B2264" s="410"/>
      <c r="C2264" s="410"/>
      <c r="D2264" s="410"/>
      <c r="E2264" s="410"/>
      <c r="F2264" s="343"/>
      <c r="G2264" s="344" t="s">
        <v>535</v>
      </c>
      <c r="H2264" s="344"/>
      <c r="I2264" s="344"/>
      <c r="J2264" s="344"/>
      <c r="K2264" s="340">
        <v>1.02</v>
      </c>
      <c r="L2264" s="10"/>
      <c r="M2264" s="420"/>
      <c r="N2264" s="502"/>
      <c r="O2264" s="412"/>
      <c r="P2264" s="391"/>
      <c r="Q2264" s="393"/>
    </row>
    <row r="2265" spans="1:18" ht="30" customHeight="1" x14ac:dyDescent="0.25">
      <c r="A2265" s="10"/>
      <c r="B2265" s="10"/>
      <c r="C2265" s="13"/>
      <c r="D2265" s="13"/>
      <c r="E2265" s="13"/>
      <c r="F2265" s="13"/>
      <c r="G2265" s="13"/>
      <c r="H2265" s="13"/>
      <c r="I2265" s="13"/>
      <c r="J2265" s="10" t="s">
        <v>358</v>
      </c>
      <c r="K2265" s="14">
        <f>+K2262*K2263/K2264</f>
        <v>267.29290223746813</v>
      </c>
      <c r="L2265" s="10" t="s">
        <v>9</v>
      </c>
      <c r="M2265" s="420"/>
      <c r="O2265" s="412"/>
      <c r="P2265" s="391"/>
      <c r="Q2265" s="393"/>
    </row>
    <row r="2266" spans="1:18" ht="30" customHeight="1" x14ac:dyDescent="0.25">
      <c r="A2266" s="10"/>
      <c r="B2266" s="10"/>
      <c r="C2266" s="13"/>
      <c r="D2266" s="13"/>
      <c r="E2266" s="13"/>
      <c r="F2266" s="556"/>
      <c r="G2266" s="13"/>
      <c r="H2266" s="13"/>
      <c r="I2266" s="969" t="s">
        <v>652</v>
      </c>
      <c r="J2266" s="361">
        <f>VLOOKUP(B2247,'Mil Cost Premiums for RUCs'!$A$4:$R$265,18,FALSE)</f>
        <v>1.2969309498325658</v>
      </c>
      <c r="K2266" s="14">
        <f>+K2265*J2266</f>
        <v>346.66043758234269</v>
      </c>
      <c r="L2266" s="844" t="s">
        <v>9</v>
      </c>
      <c r="M2266" s="1907"/>
      <c r="O2266" s="412"/>
      <c r="P2266" s="391"/>
      <c r="Q2266" s="393"/>
    </row>
    <row r="2267" spans="1:18" ht="75" customHeight="1" x14ac:dyDescent="0.25">
      <c r="A2267" s="577" t="s">
        <v>1718</v>
      </c>
      <c r="B2267" s="578"/>
      <c r="C2267" s="578"/>
      <c r="D2267" s="578"/>
      <c r="E2267" s="578"/>
      <c r="F2267" s="578"/>
      <c r="G2267" s="578"/>
      <c r="H2267" s="578"/>
      <c r="I2267" s="578"/>
      <c r="J2267" s="578"/>
      <c r="K2267" s="578"/>
      <c r="L2267" s="579"/>
      <c r="M2267" s="420"/>
      <c r="O2267" s="412"/>
      <c r="P2267" s="391"/>
      <c r="Q2267" s="393"/>
    </row>
    <row r="2268" spans="1:18" ht="30" customHeight="1" x14ac:dyDescent="0.25">
      <c r="A2268" s="1033" t="s">
        <v>539</v>
      </c>
      <c r="B2268" s="1034"/>
      <c r="C2268" s="1035"/>
      <c r="D2268" s="386" t="s">
        <v>1671</v>
      </c>
      <c r="E2268" s="849"/>
      <c r="F2268" s="849"/>
      <c r="G2268" s="849"/>
      <c r="H2268" s="849"/>
      <c r="I2268" s="849"/>
      <c r="J2268" s="849"/>
      <c r="K2268" s="849"/>
      <c r="L2268" s="850"/>
      <c r="M2268" s="420"/>
      <c r="O2268" s="412"/>
      <c r="P2268" s="391"/>
      <c r="Q2268" s="393"/>
    </row>
    <row r="2269" spans="1:18" ht="45" customHeight="1" x14ac:dyDescent="0.25">
      <c r="A2269" s="1033" t="s">
        <v>541</v>
      </c>
      <c r="B2269" s="1034"/>
      <c r="C2269" s="1035"/>
      <c r="D2269" s="386" t="s">
        <v>1719</v>
      </c>
      <c r="E2269" s="849"/>
      <c r="F2269" s="849"/>
      <c r="G2269" s="849"/>
      <c r="H2269" s="849"/>
      <c r="I2269" s="849"/>
      <c r="J2269" s="849"/>
      <c r="K2269" s="849"/>
      <c r="L2269" s="850"/>
      <c r="M2269" s="420"/>
      <c r="O2269" s="412"/>
      <c r="P2269" s="391"/>
      <c r="Q2269" s="393"/>
    </row>
    <row r="2270" spans="1:18" ht="30" customHeight="1" x14ac:dyDescent="0.25">
      <c r="A2270" s="1033" t="s">
        <v>543</v>
      </c>
      <c r="B2270" s="1034"/>
      <c r="C2270" s="1035"/>
      <c r="D2270" s="386" t="s">
        <v>1720</v>
      </c>
      <c r="E2270" s="849"/>
      <c r="F2270" s="849"/>
      <c r="G2270" s="849"/>
      <c r="H2270" s="849"/>
      <c r="I2270" s="849"/>
      <c r="J2270" s="849"/>
      <c r="K2270" s="849"/>
      <c r="L2270" s="850"/>
      <c r="M2270" s="420"/>
      <c r="O2270" s="412"/>
      <c r="P2270" s="391"/>
      <c r="Q2270" s="393"/>
    </row>
    <row r="2271" spans="1:18" ht="30" customHeight="1" x14ac:dyDescent="0.25">
      <c r="A2271" s="1044" t="s">
        <v>546</v>
      </c>
      <c r="B2271" s="1045"/>
      <c r="C2271" s="1046"/>
      <c r="D2271" s="386" t="s">
        <v>1721</v>
      </c>
      <c r="E2271" s="849"/>
      <c r="F2271" s="849"/>
      <c r="G2271" s="849"/>
      <c r="H2271" s="849"/>
      <c r="I2271" s="849"/>
      <c r="J2271" s="849"/>
      <c r="K2271" s="849"/>
      <c r="L2271" s="850"/>
      <c r="M2271" s="420"/>
      <c r="O2271" s="412"/>
      <c r="P2271" s="391"/>
      <c r="Q2271" s="393"/>
    </row>
    <row r="2272" spans="1:18" ht="90" customHeight="1" x14ac:dyDescent="0.25">
      <c r="A2272" s="1044" t="s">
        <v>548</v>
      </c>
      <c r="B2272" s="1045"/>
      <c r="C2272" s="1046"/>
      <c r="D2272" s="386" t="s">
        <v>1722</v>
      </c>
      <c r="E2272" s="849"/>
      <c r="F2272" s="849"/>
      <c r="G2272" s="849"/>
      <c r="H2272" s="849"/>
      <c r="I2272" s="849"/>
      <c r="J2272" s="849"/>
      <c r="K2272" s="849"/>
      <c r="L2272" s="850"/>
      <c r="M2272" s="420"/>
      <c r="O2272" s="412"/>
      <c r="P2272" s="391"/>
      <c r="Q2272" s="393"/>
    </row>
    <row r="2273" spans="1:18" ht="30" customHeight="1" x14ac:dyDescent="0.25">
      <c r="A2273" s="1044" t="s">
        <v>550</v>
      </c>
      <c r="B2273" s="1045"/>
      <c r="C2273" s="1046"/>
      <c r="D2273" s="386" t="s">
        <v>1723</v>
      </c>
      <c r="E2273" s="849"/>
      <c r="F2273" s="849"/>
      <c r="G2273" s="849"/>
      <c r="H2273" s="849"/>
      <c r="I2273" s="849"/>
      <c r="J2273" s="849"/>
      <c r="K2273" s="849"/>
      <c r="L2273" s="850"/>
      <c r="M2273" s="420"/>
      <c r="O2273" s="412"/>
      <c r="P2273" s="391"/>
      <c r="Q2273" s="393"/>
    </row>
    <row r="2274" spans="1:18" ht="30" customHeight="1" x14ac:dyDescent="0.25">
      <c r="A2274" s="1044" t="s">
        <v>552</v>
      </c>
      <c r="B2274" s="1045"/>
      <c r="C2274" s="1046"/>
      <c r="D2274" s="386" t="s">
        <v>1603</v>
      </c>
      <c r="E2274" s="849"/>
      <c r="F2274" s="849"/>
      <c r="G2274" s="849"/>
      <c r="H2274" s="849"/>
      <c r="I2274" s="849"/>
      <c r="J2274" s="849"/>
      <c r="K2274" s="849"/>
      <c r="L2274" s="850"/>
      <c r="M2274" s="420"/>
      <c r="O2274" s="412"/>
      <c r="P2274" s="391"/>
      <c r="Q2274" s="393"/>
    </row>
    <row r="2275" spans="1:18" ht="75" customHeight="1" x14ac:dyDescent="0.25">
      <c r="A2275" s="1044" t="s">
        <v>553</v>
      </c>
      <c r="B2275" s="1045"/>
      <c r="C2275" s="1046"/>
      <c r="D2275" s="386" t="s">
        <v>660</v>
      </c>
      <c r="E2275" s="849"/>
      <c r="F2275" s="849"/>
      <c r="G2275" s="849"/>
      <c r="H2275" s="849"/>
      <c r="I2275" s="849"/>
      <c r="J2275" s="849"/>
      <c r="K2275" s="849"/>
      <c r="L2275" s="850"/>
      <c r="M2275" s="420"/>
      <c r="O2275" s="412"/>
      <c r="P2275" s="391"/>
      <c r="Q2275" s="393"/>
    </row>
    <row r="2276" spans="1:18" s="25" customFormat="1" ht="45" customHeight="1" thickBot="1" x14ac:dyDescent="0.3">
      <c r="A2276" s="1182" t="s">
        <v>556</v>
      </c>
      <c r="B2276" s="1183"/>
      <c r="C2276" s="1184"/>
      <c r="D2276" s="960" t="s">
        <v>1692</v>
      </c>
      <c r="E2276" s="961"/>
      <c r="F2276" s="961"/>
      <c r="G2276" s="961"/>
      <c r="H2276" s="961"/>
      <c r="I2276" s="961"/>
      <c r="J2276" s="961"/>
      <c r="K2276" s="961"/>
      <c r="L2276" s="1017"/>
      <c r="M2276" s="420"/>
      <c r="O2276" s="566"/>
      <c r="P2276" s="420"/>
      <c r="Q2276" s="567"/>
    </row>
    <row r="2277" spans="1:18" ht="30" customHeight="1" thickBot="1" x14ac:dyDescent="0.3">
      <c r="A2277" s="76"/>
      <c r="B2277" s="77"/>
      <c r="C2277" s="77"/>
      <c r="D2277" s="77"/>
      <c r="E2277" s="77"/>
      <c r="F2277" s="77"/>
      <c r="G2277" s="77"/>
      <c r="H2277" s="77"/>
      <c r="I2277" s="77"/>
      <c r="J2277" s="77"/>
      <c r="K2277" s="77"/>
      <c r="L2277" s="78"/>
      <c r="M2277" s="420"/>
      <c r="O2277" s="412"/>
      <c r="P2277" s="391"/>
      <c r="Q2277" s="393"/>
    </row>
    <row r="2278" spans="1:18" ht="30" customHeight="1" x14ac:dyDescent="0.25">
      <c r="A2278" s="306" t="s">
        <v>288</v>
      </c>
      <c r="B2278" s="418">
        <v>3191</v>
      </c>
      <c r="C2278" s="953" t="s">
        <v>1724</v>
      </c>
      <c r="D2278" s="953"/>
      <c r="E2278" s="540" t="s">
        <v>291</v>
      </c>
      <c r="F2278" s="541" t="s">
        <v>9</v>
      </c>
      <c r="G2278" s="123" t="s">
        <v>375</v>
      </c>
      <c r="H2278" s="954">
        <v>8120</v>
      </c>
      <c r="I2278" s="310" t="s">
        <v>292</v>
      </c>
      <c r="J2278" s="1185" t="s">
        <v>883</v>
      </c>
      <c r="K2278" s="1185"/>
      <c r="L2278" s="1186"/>
      <c r="M2278" s="420"/>
      <c r="O2278" s="412"/>
      <c r="P2278" s="391"/>
      <c r="Q2278" s="393"/>
    </row>
    <row r="2279" spans="1:18" ht="30" customHeight="1" x14ac:dyDescent="0.25">
      <c r="A2279" s="695" t="s">
        <v>529</v>
      </c>
      <c r="B2279" s="543" t="s">
        <v>560</v>
      </c>
      <c r="C2279" s="544"/>
      <c r="D2279" s="545"/>
      <c r="E2279" s="546" t="s">
        <v>519</v>
      </c>
      <c r="F2279" s="546" t="s">
        <v>561</v>
      </c>
      <c r="G2279" s="288" t="s">
        <v>562</v>
      </c>
      <c r="H2279" s="289"/>
      <c r="I2279" s="1131" t="s">
        <v>1347</v>
      </c>
      <c r="J2279" s="424" t="s">
        <v>530</v>
      </c>
      <c r="K2279" s="507" t="s">
        <v>521</v>
      </c>
      <c r="L2279" s="508"/>
      <c r="M2279" s="420"/>
      <c r="O2279" s="412"/>
      <c r="P2279" s="391"/>
      <c r="Q2279" s="393"/>
    </row>
    <row r="2280" spans="1:18" ht="30" customHeight="1" x14ac:dyDescent="0.25">
      <c r="A2280" s="24" t="s">
        <v>1311</v>
      </c>
      <c r="B2280" s="346" t="s">
        <v>1725</v>
      </c>
      <c r="C2280" s="347"/>
      <c r="D2280" s="348"/>
      <c r="E2280" s="1187">
        <f>90.12-2.42</f>
        <v>87.7</v>
      </c>
      <c r="F2280" s="10" t="s">
        <v>9</v>
      </c>
      <c r="G2280" s="939"/>
      <c r="H2280" s="698"/>
      <c r="I2280" s="1188">
        <f>+E2280</f>
        <v>87.7</v>
      </c>
      <c r="J2280" s="24">
        <v>1.06</v>
      </c>
      <c r="K2280" s="1189">
        <f t="shared" ref="K2280:K2290" si="45">+I2280*J2280</f>
        <v>92.962000000000003</v>
      </c>
      <c r="L2280" s="826" t="s">
        <v>9</v>
      </c>
      <c r="M2280" s="420"/>
      <c r="O2280" s="412"/>
      <c r="P2280" s="391"/>
      <c r="Q2280" s="393"/>
    </row>
    <row r="2281" spans="1:18" ht="30" customHeight="1" x14ac:dyDescent="0.25">
      <c r="A2281" s="24" t="s">
        <v>644</v>
      </c>
      <c r="B2281" s="346" t="s">
        <v>651</v>
      </c>
      <c r="C2281" s="347"/>
      <c r="D2281" s="348"/>
      <c r="E2281" s="1190">
        <v>4.01</v>
      </c>
      <c r="F2281" s="10" t="s">
        <v>9</v>
      </c>
      <c r="G2281" s="941"/>
      <c r="H2281" s="922"/>
      <c r="I2281" s="1191">
        <f>+E2281</f>
        <v>4.01</v>
      </c>
      <c r="J2281" s="24">
        <v>1.04</v>
      </c>
      <c r="K2281" s="1196">
        <f t="shared" si="45"/>
        <v>4.1703999999999999</v>
      </c>
      <c r="L2281" s="826" t="s">
        <v>9</v>
      </c>
      <c r="M2281" s="670"/>
      <c r="N2281" s="671"/>
      <c r="O2281" s="43"/>
      <c r="P2281" s="672"/>
      <c r="Q2281" s="671"/>
      <c r="R2281" s="673"/>
    </row>
    <row r="2282" spans="1:18" ht="30" customHeight="1" x14ac:dyDescent="0.25">
      <c r="A2282" s="24" t="s">
        <v>760</v>
      </c>
      <c r="B2282" s="346" t="s">
        <v>1726</v>
      </c>
      <c r="C2282" s="347"/>
      <c r="D2282" s="348"/>
      <c r="E2282" s="1192">
        <v>132000</v>
      </c>
      <c r="F2282" s="1140" t="s">
        <v>11</v>
      </c>
      <c r="G2282" s="1193">
        <f>+E2282/H2278</f>
        <v>16.256157635467979</v>
      </c>
      <c r="H2282" s="1138" t="s">
        <v>1353</v>
      </c>
      <c r="I2282" s="1191">
        <f>+G2282</f>
        <v>16.256157635467979</v>
      </c>
      <c r="J2282" s="24">
        <v>1.02</v>
      </c>
      <c r="K2282" s="1196">
        <f t="shared" si="45"/>
        <v>16.581280788177338</v>
      </c>
      <c r="L2282" s="826" t="s">
        <v>9</v>
      </c>
      <c r="M2282" s="420"/>
      <c r="O2282" s="412"/>
      <c r="P2282" s="391"/>
      <c r="Q2282" s="393"/>
    </row>
    <row r="2283" spans="1:18" ht="30" customHeight="1" x14ac:dyDescent="0.25">
      <c r="A2283" s="24" t="s">
        <v>760</v>
      </c>
      <c r="B2283" s="346" t="s">
        <v>1727</v>
      </c>
      <c r="C2283" s="347"/>
      <c r="D2283" s="348"/>
      <c r="E2283" s="1192">
        <f>+(228+250)/2</f>
        <v>239</v>
      </c>
      <c r="F2283" s="1140" t="s">
        <v>7</v>
      </c>
      <c r="G2283" s="1193">
        <f>230*E2283/H2278</f>
        <v>6.7697044334975374</v>
      </c>
      <c r="H2283" s="1138" t="s">
        <v>1353</v>
      </c>
      <c r="I2283" s="1191">
        <f>+G2283</f>
        <v>6.7697044334975374</v>
      </c>
      <c r="J2283" s="24">
        <v>1.02</v>
      </c>
      <c r="K2283" s="1196">
        <f t="shared" si="45"/>
        <v>6.9050985221674885</v>
      </c>
      <c r="L2283" s="826" t="s">
        <v>9</v>
      </c>
      <c r="M2283" s="671"/>
      <c r="O2283" s="412"/>
      <c r="P2283" s="391"/>
      <c r="Q2283" s="393"/>
    </row>
    <row r="2284" spans="1:18" ht="30" customHeight="1" x14ac:dyDescent="0.25">
      <c r="A2284" s="24" t="s">
        <v>760</v>
      </c>
      <c r="B2284" s="346" t="s">
        <v>762</v>
      </c>
      <c r="C2284" s="347"/>
      <c r="D2284" s="348"/>
      <c r="E2284" s="1192">
        <f>(22.2+44.75)/2</f>
        <v>33.475000000000001</v>
      </c>
      <c r="F2284" s="1140" t="s">
        <v>7</v>
      </c>
      <c r="G2284" s="1193">
        <f>230*E2284/H2278</f>
        <v>0.94818349753694586</v>
      </c>
      <c r="H2284" s="1138" t="s">
        <v>1353</v>
      </c>
      <c r="I2284" s="1191">
        <f>+G2284</f>
        <v>0.94818349753694586</v>
      </c>
      <c r="J2284" s="24">
        <v>1.02</v>
      </c>
      <c r="K2284" s="1196">
        <f t="shared" si="45"/>
        <v>0.96714716748768481</v>
      </c>
      <c r="L2284" s="826" t="s">
        <v>9</v>
      </c>
      <c r="M2284" s="1865"/>
      <c r="N2284" s="420"/>
      <c r="O2284"/>
      <c r="P2284" s="412"/>
      <c r="Q2284" s="391"/>
      <c r="R2284" s="393"/>
    </row>
    <row r="2285" spans="1:18" ht="30" customHeight="1" x14ac:dyDescent="0.25">
      <c r="A2285" s="24" t="s">
        <v>664</v>
      </c>
      <c r="B2285" s="138" t="s">
        <v>1694</v>
      </c>
      <c r="C2285" s="139"/>
      <c r="D2285" s="140"/>
      <c r="E2285" s="1192">
        <v>23.88</v>
      </c>
      <c r="F2285" s="1140" t="s">
        <v>9</v>
      </c>
      <c r="G2285" s="1194">
        <f>81*E2285</f>
        <v>1934.28</v>
      </c>
      <c r="H2285" s="1138"/>
      <c r="I2285" s="1191">
        <f>+G2285/H2278</f>
        <v>0.23821182266009852</v>
      </c>
      <c r="J2285" s="24">
        <v>1.01</v>
      </c>
      <c r="K2285" s="1196">
        <f t="shared" si="45"/>
        <v>0.2405939408866995</v>
      </c>
      <c r="L2285" s="826" t="s">
        <v>9</v>
      </c>
      <c r="M2285" s="105"/>
      <c r="N2285" s="420"/>
      <c r="O2285"/>
      <c r="P2285" s="412"/>
      <c r="Q2285" s="391"/>
      <c r="R2285" s="393"/>
    </row>
    <row r="2286" spans="1:18" ht="30" customHeight="1" x14ac:dyDescent="0.25">
      <c r="A2286" s="24" t="s">
        <v>664</v>
      </c>
      <c r="B2286" s="138" t="s">
        <v>667</v>
      </c>
      <c r="C2286" s="139"/>
      <c r="D2286" s="140"/>
      <c r="E2286" s="1192">
        <v>1905</v>
      </c>
      <c r="F2286" s="1140"/>
      <c r="G2286" s="1193">
        <f>+E2286</f>
        <v>1905</v>
      </c>
      <c r="H2286" s="1138"/>
      <c r="I2286" s="1191">
        <f>+G2286/H2278</f>
        <v>0.23460591133004927</v>
      </c>
      <c r="J2286" s="24">
        <v>1.01</v>
      </c>
      <c r="K2286" s="1196">
        <f t="shared" si="45"/>
        <v>0.23695197044334976</v>
      </c>
      <c r="L2286" s="826" t="s">
        <v>9</v>
      </c>
      <c r="M2286" s="105"/>
      <c r="N2286" s="420"/>
      <c r="O2286"/>
      <c r="P2286" s="412"/>
      <c r="Q2286" s="391"/>
      <c r="R2286" s="393"/>
    </row>
    <row r="2287" spans="1:18" ht="30" customHeight="1" x14ac:dyDescent="0.25">
      <c r="A2287" s="24" t="s">
        <v>668</v>
      </c>
      <c r="B2287" s="138" t="s">
        <v>1728</v>
      </c>
      <c r="C2287" s="139"/>
      <c r="D2287" s="140"/>
      <c r="E2287" s="1192">
        <f>+(31.5+75)/2</f>
        <v>53.25</v>
      </c>
      <c r="F2287" s="1140" t="s">
        <v>7</v>
      </c>
      <c r="G2287" s="1137">
        <v>10</v>
      </c>
      <c r="H2287" s="1138" t="s">
        <v>1528</v>
      </c>
      <c r="I2287" s="1191">
        <f>+E2287*G2287/H2278</f>
        <v>6.5578817733990144E-2</v>
      </c>
      <c r="J2287" s="24">
        <v>1.01</v>
      </c>
      <c r="K2287" s="1196">
        <f t="shared" si="45"/>
        <v>6.6234605911330041E-2</v>
      </c>
      <c r="L2287" s="826" t="s">
        <v>9</v>
      </c>
      <c r="M2287" s="105"/>
      <c r="N2287" s="420"/>
      <c r="O2287"/>
      <c r="P2287" s="412"/>
      <c r="Q2287" s="391"/>
      <c r="R2287" s="393"/>
    </row>
    <row r="2288" spans="1:18" ht="30" customHeight="1" x14ac:dyDescent="0.25">
      <c r="A2288" s="24" t="s">
        <v>668</v>
      </c>
      <c r="B2288" s="138" t="s">
        <v>1729</v>
      </c>
      <c r="C2288" s="139"/>
      <c r="D2288" s="140"/>
      <c r="E2288" s="1192">
        <f>+(5900+11300)/2</f>
        <v>8600</v>
      </c>
      <c r="F2288" s="1140" t="s">
        <v>11</v>
      </c>
      <c r="G2288" s="1137">
        <v>1</v>
      </c>
      <c r="H2288" s="1138" t="s">
        <v>1353</v>
      </c>
      <c r="I2288" s="1191">
        <f>+E2288/H2278</f>
        <v>1.0591133004926108</v>
      </c>
      <c r="J2288" s="24">
        <v>1.01</v>
      </c>
      <c r="K2288" s="1196">
        <f t="shared" si="45"/>
        <v>1.069704433497537</v>
      </c>
      <c r="L2288" s="826" t="s">
        <v>9</v>
      </c>
      <c r="M2288" s="105"/>
      <c r="N2288" s="420"/>
      <c r="O2288"/>
      <c r="P2288" s="412"/>
      <c r="Q2288" s="391"/>
      <c r="R2288" s="393"/>
    </row>
    <row r="2289" spans="1:18" ht="30" customHeight="1" x14ac:dyDescent="0.25">
      <c r="A2289" s="24" t="s">
        <v>668</v>
      </c>
      <c r="B2289" s="138" t="s">
        <v>1730</v>
      </c>
      <c r="C2289" s="139"/>
      <c r="D2289" s="140"/>
      <c r="E2289" s="1195">
        <f>+(605+925)/2</f>
        <v>765</v>
      </c>
      <c r="F2289" s="1140" t="s">
        <v>11</v>
      </c>
      <c r="G2289" s="1137">
        <v>1</v>
      </c>
      <c r="H2289" s="1138" t="s">
        <v>1353</v>
      </c>
      <c r="I2289" s="1191">
        <f>+E2289/H2278</f>
        <v>9.4211822660098518E-2</v>
      </c>
      <c r="J2289" s="24">
        <v>1.01</v>
      </c>
      <c r="K2289" s="1196">
        <f t="shared" si="45"/>
        <v>9.5153940886699498E-2</v>
      </c>
      <c r="L2289" s="826" t="s">
        <v>9</v>
      </c>
      <c r="M2289" s="105"/>
      <c r="N2289" s="420"/>
      <c r="O2289"/>
      <c r="P2289" s="412"/>
      <c r="Q2289" s="391"/>
      <c r="R2289" s="393"/>
    </row>
    <row r="2290" spans="1:18" ht="30" customHeight="1" x14ac:dyDescent="0.25">
      <c r="A2290" s="24" t="s">
        <v>668</v>
      </c>
      <c r="B2290" s="138" t="s">
        <v>1731</v>
      </c>
      <c r="C2290" s="139"/>
      <c r="D2290" s="140"/>
      <c r="E2290" s="1192">
        <f>+(1060+3175)/2</f>
        <v>2117.5</v>
      </c>
      <c r="F2290" s="1140" t="s">
        <v>11</v>
      </c>
      <c r="G2290" s="1137">
        <v>1</v>
      </c>
      <c r="H2290" s="1138" t="s">
        <v>1353</v>
      </c>
      <c r="I2290" s="1191">
        <f>+E2290/H2278</f>
        <v>0.26077586206896552</v>
      </c>
      <c r="J2290" s="24">
        <v>1.01</v>
      </c>
      <c r="K2290" s="1196">
        <f t="shared" si="45"/>
        <v>0.26338362068965521</v>
      </c>
      <c r="L2290" s="826" t="s">
        <v>9</v>
      </c>
      <c r="M2290" s="105"/>
      <c r="N2290" s="420"/>
      <c r="O2290"/>
      <c r="P2290" s="412"/>
      <c r="Q2290" s="391"/>
      <c r="R2290" s="393"/>
    </row>
    <row r="2291" spans="1:18" ht="30" customHeight="1" x14ac:dyDescent="0.25">
      <c r="A2291" s="24"/>
      <c r="B2291" s="574"/>
      <c r="C2291" s="574"/>
      <c r="D2291" s="574"/>
      <c r="E2291" s="887"/>
      <c r="F2291" s="1143"/>
      <c r="G2291" s="889"/>
      <c r="H2291" s="889"/>
      <c r="I2291" s="24"/>
      <c r="J2291" s="24" t="s">
        <v>646</v>
      </c>
      <c r="K2291" s="1196">
        <f>SUM(K2280:K2290)</f>
        <v>123.55794899014778</v>
      </c>
      <c r="L2291" s="826" t="s">
        <v>9</v>
      </c>
      <c r="M2291" s="105"/>
      <c r="N2291" s="420"/>
      <c r="O2291"/>
      <c r="P2291" s="412"/>
      <c r="Q2291" s="391"/>
      <c r="R2291" s="393"/>
    </row>
    <row r="2292" spans="1:18" ht="30" customHeight="1" x14ac:dyDescent="0.25">
      <c r="A2292" s="61"/>
      <c r="B2292" s="498"/>
      <c r="C2292" s="498"/>
      <c r="D2292" s="498"/>
      <c r="E2292" s="498"/>
      <c r="F2292" s="676" t="s">
        <v>533</v>
      </c>
      <c r="G2292" s="677" t="s">
        <v>534</v>
      </c>
      <c r="H2292" s="677"/>
      <c r="I2292" s="677"/>
      <c r="J2292" s="677"/>
      <c r="K2292" s="886">
        <v>1.0900000000000001</v>
      </c>
      <c r="L2292" s="24"/>
      <c r="M2292" s="105"/>
      <c r="N2292" s="420"/>
      <c r="O2292"/>
      <c r="P2292" s="412"/>
      <c r="Q2292" s="391"/>
      <c r="R2292" s="393"/>
    </row>
    <row r="2293" spans="1:18" ht="30" customHeight="1" x14ac:dyDescent="0.25">
      <c r="A2293" s="61"/>
      <c r="B2293" s="498"/>
      <c r="C2293" s="498"/>
      <c r="D2293" s="498"/>
      <c r="E2293" s="498"/>
      <c r="F2293" s="678"/>
      <c r="G2293" s="679" t="s">
        <v>535</v>
      </c>
      <c r="H2293" s="679"/>
      <c r="I2293" s="679"/>
      <c r="J2293" s="679"/>
      <c r="K2293" s="340">
        <v>1.02</v>
      </c>
      <c r="L2293" s="24"/>
      <c r="M2293" s="105"/>
      <c r="N2293" s="420"/>
      <c r="O2293"/>
      <c r="P2293" s="412"/>
      <c r="Q2293" s="391"/>
      <c r="R2293" s="393"/>
    </row>
    <row r="2294" spans="1:18" ht="30" customHeight="1" x14ac:dyDescent="0.25">
      <c r="A2294" s="1150"/>
      <c r="B2294" s="1197"/>
      <c r="C2294" s="1197"/>
      <c r="D2294" s="1197"/>
      <c r="E2294" s="1197"/>
      <c r="F2294" s="1197"/>
      <c r="G2294" s="1197"/>
      <c r="H2294" s="64"/>
      <c r="I2294" s="64"/>
      <c r="J2294" s="64" t="s">
        <v>358</v>
      </c>
      <c r="K2294" s="1198">
        <f>+K2291*K2292/K2293</f>
        <v>132.03741607770695</v>
      </c>
      <c r="L2294" s="826" t="s">
        <v>9</v>
      </c>
      <c r="M2294" s="1906"/>
      <c r="N2294" s="671"/>
      <c r="O2294"/>
      <c r="P2294" s="412"/>
      <c r="Q2294" s="391"/>
      <c r="R2294" s="393"/>
    </row>
    <row r="2295" spans="1:18" ht="30" customHeight="1" x14ac:dyDescent="0.25">
      <c r="A2295" s="1150"/>
      <c r="B2295" s="1199"/>
      <c r="C2295" s="1199"/>
      <c r="D2295" s="1199"/>
      <c r="E2295" s="1199"/>
      <c r="G2295" s="1199"/>
      <c r="H2295" s="64"/>
      <c r="I2295" s="1171" t="s">
        <v>652</v>
      </c>
      <c r="J2295" s="447">
        <f>VLOOKUP(B2278,'Mil Cost Premiums for RUCs'!$A$4:$R$265,18,FALSE)</f>
        <v>1.3319480854780448</v>
      </c>
      <c r="K2295" s="1198">
        <f>+K2294*J2295</f>
        <v>175.86698355616977</v>
      </c>
      <c r="L2295" s="826" t="s">
        <v>9</v>
      </c>
      <c r="M2295" s="671"/>
      <c r="O2295" s="412"/>
      <c r="P2295" s="391"/>
      <c r="Q2295" s="393"/>
    </row>
    <row r="2296" spans="1:18" s="49" customFormat="1" ht="75" customHeight="1" x14ac:dyDescent="0.25">
      <c r="A2296" s="580" t="s">
        <v>538</v>
      </c>
      <c r="B2296" s="532"/>
      <c r="C2296" s="532"/>
      <c r="D2296" s="532"/>
      <c r="E2296" s="532"/>
      <c r="F2296" s="532"/>
      <c r="G2296" s="532"/>
      <c r="H2296" s="532"/>
      <c r="I2296" s="532"/>
      <c r="J2296" s="532"/>
      <c r="K2296" s="532"/>
      <c r="L2296" s="532"/>
      <c r="M2296" s="1907"/>
      <c r="N2296" s="502"/>
      <c r="O2296" s="412"/>
      <c r="P2296" s="391"/>
      <c r="Q2296" s="393"/>
    </row>
    <row r="2297" spans="1:18" ht="30" customHeight="1" x14ac:dyDescent="0.25">
      <c r="A2297" s="1044" t="s">
        <v>539</v>
      </c>
      <c r="B2297" s="1045"/>
      <c r="C2297" s="1046"/>
      <c r="D2297" s="386" t="s">
        <v>1732</v>
      </c>
      <c r="E2297" s="849"/>
      <c r="F2297" s="849"/>
      <c r="G2297" s="849"/>
      <c r="H2297" s="849"/>
      <c r="I2297" s="849"/>
      <c r="J2297" s="849"/>
      <c r="K2297" s="849"/>
      <c r="L2297" s="849"/>
      <c r="M2297" s="1907"/>
      <c r="O2297" s="412"/>
      <c r="P2297" s="391"/>
      <c r="Q2297" s="393"/>
    </row>
    <row r="2298" spans="1:18" ht="30" customHeight="1" x14ac:dyDescent="0.25">
      <c r="A2298" s="1044" t="s">
        <v>541</v>
      </c>
      <c r="B2298" s="1045"/>
      <c r="C2298" s="1046"/>
      <c r="D2298" s="386" t="s">
        <v>1733</v>
      </c>
      <c r="E2298" s="849"/>
      <c r="F2298" s="849"/>
      <c r="G2298" s="849"/>
      <c r="H2298" s="849"/>
      <c r="I2298" s="849"/>
      <c r="J2298" s="849"/>
      <c r="K2298" s="849"/>
      <c r="L2298" s="849"/>
      <c r="M2298" s="1907"/>
      <c r="O2298" s="412"/>
      <c r="P2298" s="391"/>
      <c r="Q2298" s="393"/>
    </row>
    <row r="2299" spans="1:18" ht="30" customHeight="1" x14ac:dyDescent="0.25">
      <c r="A2299" s="1044" t="s">
        <v>543</v>
      </c>
      <c r="B2299" s="1045"/>
      <c r="C2299" s="1046"/>
      <c r="D2299" s="386" t="s">
        <v>1734</v>
      </c>
      <c r="E2299" s="849"/>
      <c r="F2299" s="849"/>
      <c r="G2299" s="849"/>
      <c r="H2299" s="849"/>
      <c r="I2299" s="849"/>
      <c r="J2299" s="849"/>
      <c r="K2299" s="849"/>
      <c r="L2299" s="849"/>
      <c r="M2299" s="1907"/>
      <c r="O2299" s="412"/>
      <c r="P2299" s="391"/>
      <c r="Q2299" s="393"/>
    </row>
    <row r="2300" spans="1:18" ht="30" customHeight="1" x14ac:dyDescent="0.25">
      <c r="A2300" s="1044" t="s">
        <v>546</v>
      </c>
      <c r="B2300" s="1045"/>
      <c r="C2300" s="1046"/>
      <c r="D2300" s="386" t="s">
        <v>1735</v>
      </c>
      <c r="E2300" s="849"/>
      <c r="F2300" s="849"/>
      <c r="G2300" s="849"/>
      <c r="H2300" s="849"/>
      <c r="I2300" s="849"/>
      <c r="J2300" s="849"/>
      <c r="K2300" s="849"/>
      <c r="L2300" s="849"/>
      <c r="M2300" s="1907"/>
      <c r="O2300" s="412"/>
      <c r="P2300" s="391"/>
      <c r="Q2300" s="393"/>
    </row>
    <row r="2301" spans="1:18" ht="75" customHeight="1" x14ac:dyDescent="0.25">
      <c r="A2301" s="1044" t="s">
        <v>548</v>
      </c>
      <c r="B2301" s="1045"/>
      <c r="C2301" s="1046"/>
      <c r="D2301" s="386" t="s">
        <v>1736</v>
      </c>
      <c r="E2301" s="849"/>
      <c r="F2301" s="849"/>
      <c r="G2301" s="849"/>
      <c r="H2301" s="849"/>
      <c r="I2301" s="849"/>
      <c r="J2301" s="849"/>
      <c r="K2301" s="849"/>
      <c r="L2301" s="849"/>
      <c r="M2301" s="1907"/>
      <c r="O2301" s="412"/>
      <c r="P2301" s="391"/>
      <c r="Q2301" s="393"/>
    </row>
    <row r="2302" spans="1:18" ht="30" customHeight="1" x14ac:dyDescent="0.25">
      <c r="A2302" s="1044" t="s">
        <v>550</v>
      </c>
      <c r="B2302" s="1045"/>
      <c r="C2302" s="1046"/>
      <c r="D2302" s="386" t="s">
        <v>1737</v>
      </c>
      <c r="E2302" s="849"/>
      <c r="F2302" s="849"/>
      <c r="G2302" s="849"/>
      <c r="H2302" s="849"/>
      <c r="I2302" s="849"/>
      <c r="J2302" s="849"/>
      <c r="K2302" s="849"/>
      <c r="L2302" s="849"/>
      <c r="M2302" s="1907"/>
      <c r="O2302" s="412"/>
      <c r="P2302" s="391"/>
      <c r="Q2302" s="393"/>
    </row>
    <row r="2303" spans="1:18" ht="30" customHeight="1" x14ac:dyDescent="0.25">
      <c r="A2303" s="1044" t="s">
        <v>552</v>
      </c>
      <c r="B2303" s="1045"/>
      <c r="C2303" s="1046"/>
      <c r="D2303" s="386" t="s">
        <v>699</v>
      </c>
      <c r="E2303" s="849"/>
      <c r="F2303" s="849"/>
      <c r="G2303" s="849"/>
      <c r="H2303" s="849"/>
      <c r="I2303" s="849"/>
      <c r="J2303" s="849"/>
      <c r="K2303" s="849"/>
      <c r="L2303" s="849"/>
      <c r="M2303" s="1907"/>
      <c r="O2303" s="412"/>
      <c r="P2303" s="391"/>
      <c r="Q2303" s="393"/>
    </row>
    <row r="2304" spans="1:18" ht="75" customHeight="1" x14ac:dyDescent="0.25">
      <c r="A2304" s="1044" t="s">
        <v>553</v>
      </c>
      <c r="B2304" s="1045"/>
      <c r="C2304" s="1046"/>
      <c r="D2304" s="386" t="s">
        <v>660</v>
      </c>
      <c r="E2304" s="849"/>
      <c r="F2304" s="849"/>
      <c r="G2304" s="849"/>
      <c r="H2304" s="849"/>
      <c r="I2304" s="849"/>
      <c r="J2304" s="849"/>
      <c r="K2304" s="849"/>
      <c r="L2304" s="849"/>
      <c r="M2304" s="1907"/>
      <c r="O2304" s="412"/>
      <c r="P2304" s="391"/>
      <c r="Q2304" s="393"/>
    </row>
    <row r="2305" spans="1:18" ht="45" customHeight="1" thickBot="1" x14ac:dyDescent="0.3">
      <c r="A2305" s="1044" t="s">
        <v>556</v>
      </c>
      <c r="B2305" s="1045"/>
      <c r="C2305" s="1046"/>
      <c r="D2305" s="960" t="s">
        <v>1738</v>
      </c>
      <c r="E2305" s="961"/>
      <c r="F2305" s="961"/>
      <c r="G2305" s="961"/>
      <c r="H2305" s="961"/>
      <c r="I2305" s="961"/>
      <c r="J2305" s="961"/>
      <c r="K2305" s="961"/>
      <c r="L2305" s="961"/>
      <c r="M2305" s="1907"/>
      <c r="O2305" s="412"/>
      <c r="P2305" s="391"/>
      <c r="Q2305" s="393"/>
    </row>
    <row r="2306" spans="1:18" ht="30" customHeight="1" thickBot="1" x14ac:dyDescent="0.3">
      <c r="A2306" s="76"/>
      <c r="B2306" s="77"/>
      <c r="C2306" s="77"/>
      <c r="D2306" s="77"/>
      <c r="E2306" s="77"/>
      <c r="F2306" s="77"/>
      <c r="G2306" s="77"/>
      <c r="H2306" s="77"/>
      <c r="I2306" s="77"/>
      <c r="J2306" s="77"/>
      <c r="K2306" s="77"/>
      <c r="L2306" s="78"/>
      <c r="M2306" s="1907"/>
      <c r="O2306" s="412"/>
      <c r="P2306" s="391"/>
      <c r="Q2306" s="393"/>
    </row>
    <row r="2307" spans="1:18" ht="30" customHeight="1" x14ac:dyDescent="0.25">
      <c r="A2307" s="306" t="s">
        <v>288</v>
      </c>
      <c r="B2307" s="418">
        <v>3201</v>
      </c>
      <c r="C2307" s="953" t="s">
        <v>1739</v>
      </c>
      <c r="D2307" s="953"/>
      <c r="E2307" s="540" t="s">
        <v>291</v>
      </c>
      <c r="F2307" s="541" t="s">
        <v>9</v>
      </c>
      <c r="G2307" s="123" t="s">
        <v>375</v>
      </c>
      <c r="H2307" s="954">
        <v>9499</v>
      </c>
      <c r="I2307" s="540" t="s">
        <v>292</v>
      </c>
      <c r="J2307" s="747" t="s">
        <v>883</v>
      </c>
      <c r="K2307" s="747"/>
      <c r="L2307" s="747"/>
      <c r="M2307" s="1907"/>
      <c r="O2307" s="412"/>
      <c r="P2307" s="391"/>
      <c r="Q2307" s="393"/>
    </row>
    <row r="2308" spans="1:18" ht="30" customHeight="1" x14ac:dyDescent="0.25">
      <c r="A2308" s="695" t="s">
        <v>529</v>
      </c>
      <c r="B2308" s="543" t="s">
        <v>560</v>
      </c>
      <c r="C2308" s="544"/>
      <c r="D2308" s="545"/>
      <c r="E2308" s="546" t="s">
        <v>519</v>
      </c>
      <c r="F2308" s="546" t="s">
        <v>561</v>
      </c>
      <c r="G2308" s="288" t="s">
        <v>562</v>
      </c>
      <c r="H2308" s="289"/>
      <c r="I2308" s="938" t="s">
        <v>1347</v>
      </c>
      <c r="J2308" s="424" t="s">
        <v>530</v>
      </c>
      <c r="K2308" s="288" t="s">
        <v>521</v>
      </c>
      <c r="L2308" s="423"/>
      <c r="M2308" s="1907"/>
      <c r="O2308" s="412"/>
      <c r="P2308" s="391"/>
      <c r="Q2308" s="393"/>
    </row>
    <row r="2309" spans="1:18" ht="30" customHeight="1" x14ac:dyDescent="0.25">
      <c r="A2309" s="24" t="s">
        <v>1311</v>
      </c>
      <c r="B2309" s="346" t="s">
        <v>1633</v>
      </c>
      <c r="C2309" s="347"/>
      <c r="D2309" s="348"/>
      <c r="E2309" s="1187">
        <v>90.12</v>
      </c>
      <c r="F2309" s="10" t="s">
        <v>9</v>
      </c>
      <c r="G2309" s="939"/>
      <c r="H2309" s="698"/>
      <c r="I2309" s="1200">
        <f>+E2309</f>
        <v>90.12</v>
      </c>
      <c r="J2309" s="10">
        <v>1.04</v>
      </c>
      <c r="K2309" s="1201">
        <f t="shared" ref="K2309:K2319" si="46">+I2309*J2309</f>
        <v>93.724800000000002</v>
      </c>
      <c r="L2309" s="965" t="s">
        <v>9</v>
      </c>
      <c r="M2309" s="1907"/>
      <c r="O2309" s="412"/>
      <c r="P2309" s="391"/>
      <c r="Q2309" s="393"/>
    </row>
    <row r="2310" spans="1:18" ht="30" customHeight="1" x14ac:dyDescent="0.25">
      <c r="A2310" s="24" t="s">
        <v>644</v>
      </c>
      <c r="B2310" s="346" t="s">
        <v>651</v>
      </c>
      <c r="C2310" s="347"/>
      <c r="D2310" s="348"/>
      <c r="E2310" s="1190">
        <v>4.01</v>
      </c>
      <c r="F2310" s="10" t="s">
        <v>9</v>
      </c>
      <c r="G2310" s="941"/>
      <c r="H2310" s="922"/>
      <c r="I2310" s="1202">
        <f>+E2310</f>
        <v>4.01</v>
      </c>
      <c r="J2310" s="10">
        <v>1.04</v>
      </c>
      <c r="K2310" s="1201">
        <f t="shared" si="46"/>
        <v>4.1703999999999999</v>
      </c>
      <c r="L2310" s="965" t="s">
        <v>9</v>
      </c>
      <c r="M2310" s="1907"/>
      <c r="O2310" s="412"/>
      <c r="P2310" s="391"/>
      <c r="Q2310" s="393"/>
    </row>
    <row r="2311" spans="1:18" ht="30" customHeight="1" x14ac:dyDescent="0.25">
      <c r="A2311" s="24" t="s">
        <v>760</v>
      </c>
      <c r="B2311" s="346" t="s">
        <v>1726</v>
      </c>
      <c r="C2311" s="347"/>
      <c r="D2311" s="348"/>
      <c r="E2311" s="1187">
        <v>132000</v>
      </c>
      <c r="F2311" s="844" t="s">
        <v>11</v>
      </c>
      <c r="G2311" s="1203">
        <f>+E2311/H2307</f>
        <v>13.896199599957891</v>
      </c>
      <c r="H2311" s="922" t="s">
        <v>1353</v>
      </c>
      <c r="I2311" s="1202">
        <f>+G2311</f>
        <v>13.896199599957891</v>
      </c>
      <c r="J2311" s="10">
        <v>1.02</v>
      </c>
      <c r="K2311" s="1201">
        <f t="shared" si="46"/>
        <v>14.174123591957049</v>
      </c>
      <c r="L2311" s="965" t="s">
        <v>9</v>
      </c>
      <c r="M2311" s="955"/>
      <c r="N2311" s="671"/>
      <c r="O2311" s="43"/>
      <c r="P2311" s="672"/>
      <c r="Q2311" s="671"/>
      <c r="R2311" s="673"/>
    </row>
    <row r="2312" spans="1:18" ht="30" customHeight="1" x14ac:dyDescent="0.25">
      <c r="A2312" s="24" t="s">
        <v>760</v>
      </c>
      <c r="B2312" s="346" t="s">
        <v>1740</v>
      </c>
      <c r="C2312" s="347"/>
      <c r="D2312" s="348"/>
      <c r="E2312" s="1187">
        <f>+(228+250)/2</f>
        <v>239</v>
      </c>
      <c r="F2312" s="844" t="s">
        <v>7</v>
      </c>
      <c r="G2312" s="1203">
        <f>200*E2312/H2307</f>
        <v>5.0321086430150546</v>
      </c>
      <c r="H2312" s="922" t="s">
        <v>1353</v>
      </c>
      <c r="I2312" s="1202">
        <f>+G2312</f>
        <v>5.0321086430150546</v>
      </c>
      <c r="J2312" s="10">
        <v>1.02</v>
      </c>
      <c r="K2312" s="1201">
        <f t="shared" si="46"/>
        <v>5.1327508158753554</v>
      </c>
      <c r="L2312" s="965" t="s">
        <v>9</v>
      </c>
      <c r="M2312" s="955"/>
      <c r="N2312" s="671"/>
      <c r="O2312" s="43"/>
      <c r="P2312" s="672"/>
      <c r="Q2312" s="671"/>
      <c r="R2312" s="673"/>
    </row>
    <row r="2313" spans="1:18" ht="30" customHeight="1" x14ac:dyDescent="0.25">
      <c r="A2313" s="24" t="s">
        <v>760</v>
      </c>
      <c r="B2313" s="346" t="s">
        <v>1741</v>
      </c>
      <c r="C2313" s="347"/>
      <c r="D2313" s="348"/>
      <c r="E2313" s="1187">
        <f>(22.2+44.75)/2</f>
        <v>33.475000000000001</v>
      </c>
      <c r="F2313" s="844" t="s">
        <v>7</v>
      </c>
      <c r="G2313" s="1203">
        <f>200*E2313/H2307</f>
        <v>0.70481103274028845</v>
      </c>
      <c r="H2313" s="922" t="s">
        <v>1353</v>
      </c>
      <c r="I2313" s="1202">
        <f>+G2313</f>
        <v>0.70481103274028845</v>
      </c>
      <c r="J2313" s="10">
        <v>1.02</v>
      </c>
      <c r="K2313" s="1201">
        <f t="shared" si="46"/>
        <v>0.7189072533950942</v>
      </c>
      <c r="L2313" s="965" t="s">
        <v>9</v>
      </c>
      <c r="M2313" s="1907"/>
      <c r="O2313" s="412"/>
      <c r="P2313" s="391"/>
      <c r="Q2313" s="393"/>
    </row>
    <row r="2314" spans="1:18" ht="30" customHeight="1" x14ac:dyDescent="0.25">
      <c r="A2314" s="24" t="s">
        <v>664</v>
      </c>
      <c r="B2314" s="346" t="s">
        <v>1694</v>
      </c>
      <c r="C2314" s="347"/>
      <c r="D2314" s="348"/>
      <c r="E2314" s="1187">
        <v>23.88</v>
      </c>
      <c r="F2314" s="844" t="s">
        <v>9</v>
      </c>
      <c r="G2314" s="1204">
        <f>81*E2314</f>
        <v>1934.28</v>
      </c>
      <c r="H2314" s="922"/>
      <c r="I2314" s="1202">
        <f>+G2314/H2307</f>
        <v>0.20362985577429202</v>
      </c>
      <c r="J2314" s="10">
        <v>1.01</v>
      </c>
      <c r="K2314" s="1201">
        <f t="shared" si="46"/>
        <v>0.20566615433203495</v>
      </c>
      <c r="L2314" s="965" t="s">
        <v>9</v>
      </c>
      <c r="M2314" s="1907"/>
      <c r="O2314" s="412"/>
      <c r="P2314" s="391"/>
      <c r="Q2314" s="393"/>
    </row>
    <row r="2315" spans="1:18" ht="30" customHeight="1" x14ac:dyDescent="0.25">
      <c r="A2315" s="24" t="s">
        <v>664</v>
      </c>
      <c r="B2315" s="346" t="s">
        <v>667</v>
      </c>
      <c r="C2315" s="347"/>
      <c r="D2315" s="348"/>
      <c r="E2315" s="1187">
        <v>1905</v>
      </c>
      <c r="F2315" s="844"/>
      <c r="G2315" s="1203">
        <f>+E2315</f>
        <v>1905</v>
      </c>
      <c r="H2315" s="922"/>
      <c r="I2315" s="1202">
        <f>+G2315/H2307</f>
        <v>0.20054742604484682</v>
      </c>
      <c r="J2315" s="10">
        <v>1.01</v>
      </c>
      <c r="K2315" s="1201">
        <f t="shared" si="46"/>
        <v>0.2025529003052953</v>
      </c>
      <c r="L2315" s="965" t="s">
        <v>9</v>
      </c>
      <c r="M2315" s="986"/>
      <c r="N2315" s="420"/>
      <c r="O2315"/>
      <c r="P2315" s="412"/>
      <c r="Q2315" s="391"/>
      <c r="R2315" s="393"/>
    </row>
    <row r="2316" spans="1:18" ht="30" customHeight="1" x14ac:dyDescent="0.25">
      <c r="A2316" s="24" t="s">
        <v>668</v>
      </c>
      <c r="B2316" s="346" t="s">
        <v>1742</v>
      </c>
      <c r="C2316" s="347"/>
      <c r="D2316" s="348"/>
      <c r="E2316" s="1187">
        <f>+(31.5+75)/2</f>
        <v>53.25</v>
      </c>
      <c r="F2316" s="844" t="s">
        <v>7</v>
      </c>
      <c r="G2316" s="941">
        <v>10</v>
      </c>
      <c r="H2316" s="922" t="s">
        <v>1528</v>
      </c>
      <c r="I2316" s="1202">
        <f>+E2316*G2316/H2307</f>
        <v>5.6058532477102851E-2</v>
      </c>
      <c r="J2316" s="10">
        <v>1.01</v>
      </c>
      <c r="K2316" s="1201">
        <f t="shared" si="46"/>
        <v>5.6619117801873883E-2</v>
      </c>
      <c r="L2316" s="965" t="s">
        <v>9</v>
      </c>
      <c r="M2316" s="434"/>
      <c r="N2316" s="420"/>
      <c r="O2316"/>
      <c r="P2316" s="412"/>
      <c r="Q2316" s="391"/>
      <c r="R2316" s="393"/>
    </row>
    <row r="2317" spans="1:18" ht="30" customHeight="1" x14ac:dyDescent="0.25">
      <c r="A2317" s="24" t="s">
        <v>668</v>
      </c>
      <c r="B2317" s="346" t="s">
        <v>1743</v>
      </c>
      <c r="C2317" s="347"/>
      <c r="D2317" s="348"/>
      <c r="E2317" s="1187">
        <f>+(5900+11300)/2</f>
        <v>8600</v>
      </c>
      <c r="F2317" s="844" t="s">
        <v>11</v>
      </c>
      <c r="G2317" s="941">
        <v>1</v>
      </c>
      <c r="H2317" s="922" t="s">
        <v>1353</v>
      </c>
      <c r="I2317" s="1202">
        <f>+E2317/H2307</f>
        <v>0.90535845878513532</v>
      </c>
      <c r="J2317" s="10">
        <v>1.01</v>
      </c>
      <c r="K2317" s="1201">
        <f t="shared" si="46"/>
        <v>0.91441204337298665</v>
      </c>
      <c r="L2317" s="965" t="s">
        <v>9</v>
      </c>
      <c r="M2317" s="434"/>
      <c r="N2317" s="420"/>
      <c r="O2317"/>
      <c r="P2317" s="412"/>
      <c r="Q2317" s="391"/>
      <c r="R2317" s="393"/>
    </row>
    <row r="2318" spans="1:18" ht="30" customHeight="1" x14ac:dyDescent="0.25">
      <c r="A2318" s="24" t="s">
        <v>668</v>
      </c>
      <c r="B2318" s="346" t="s">
        <v>1744</v>
      </c>
      <c r="C2318" s="347"/>
      <c r="D2318" s="348"/>
      <c r="E2318" s="1190">
        <f>+(605+925)/2</f>
        <v>765</v>
      </c>
      <c r="F2318" s="844" t="s">
        <v>11</v>
      </c>
      <c r="G2318" s="941">
        <v>1</v>
      </c>
      <c r="H2318" s="922" t="s">
        <v>1353</v>
      </c>
      <c r="I2318" s="1202">
        <f>+E2318/H2307</f>
        <v>8.0534793136119595E-2</v>
      </c>
      <c r="J2318" s="10">
        <v>1.01</v>
      </c>
      <c r="K2318" s="1201">
        <f t="shared" si="46"/>
        <v>8.134014106748079E-2</v>
      </c>
      <c r="L2318" s="965" t="s">
        <v>9</v>
      </c>
      <c r="M2318" s="434"/>
      <c r="N2318" s="420"/>
      <c r="O2318"/>
      <c r="P2318" s="412"/>
      <c r="Q2318" s="391"/>
      <c r="R2318" s="393"/>
    </row>
    <row r="2319" spans="1:18" ht="30" customHeight="1" x14ac:dyDescent="0.25">
      <c r="A2319" s="24" t="s">
        <v>668</v>
      </c>
      <c r="B2319" s="346" t="s">
        <v>1745</v>
      </c>
      <c r="C2319" s="347"/>
      <c r="D2319" s="348"/>
      <c r="E2319" s="1187">
        <f>+(1060+3175)/2</f>
        <v>2117.5</v>
      </c>
      <c r="F2319" s="844" t="s">
        <v>11</v>
      </c>
      <c r="G2319" s="941">
        <v>1</v>
      </c>
      <c r="H2319" s="922" t="s">
        <v>1353</v>
      </c>
      <c r="I2319" s="1202">
        <f>+E2319/H2307</f>
        <v>0.22291820191599115</v>
      </c>
      <c r="J2319" s="10">
        <v>1.01</v>
      </c>
      <c r="K2319" s="1201">
        <f t="shared" si="46"/>
        <v>0.22514738393515107</v>
      </c>
      <c r="L2319" s="965" t="s">
        <v>9</v>
      </c>
      <c r="M2319" s="434"/>
      <c r="N2319" s="420"/>
      <c r="O2319"/>
      <c r="P2319" s="412"/>
      <c r="Q2319" s="391"/>
      <c r="R2319" s="393"/>
    </row>
    <row r="2320" spans="1:18" ht="30" customHeight="1" x14ac:dyDescent="0.25">
      <c r="A2320" s="24"/>
      <c r="B2320" s="701"/>
      <c r="C2320" s="701"/>
      <c r="D2320" s="701"/>
      <c r="E2320" s="19"/>
      <c r="F2320" s="845"/>
      <c r="G2320" s="846"/>
      <c r="H2320" s="846"/>
      <c r="I2320" s="10"/>
      <c r="J2320" s="10" t="s">
        <v>646</v>
      </c>
      <c r="K2320" s="1205">
        <f>SUM(K2309:K2319)</f>
        <v>119.60671940204232</v>
      </c>
      <c r="L2320" s="965" t="s">
        <v>9</v>
      </c>
      <c r="M2320" s="434"/>
      <c r="N2320" s="420"/>
      <c r="O2320"/>
      <c r="P2320" s="412"/>
      <c r="Q2320" s="391"/>
      <c r="R2320" s="393"/>
    </row>
    <row r="2321" spans="1:18" ht="30" customHeight="1" x14ac:dyDescent="0.25">
      <c r="A2321" s="61"/>
      <c r="B2321" s="410"/>
      <c r="C2321" s="410"/>
      <c r="D2321" s="410"/>
      <c r="E2321" s="410"/>
      <c r="F2321" s="338" t="s">
        <v>533</v>
      </c>
      <c r="G2321" s="339" t="s">
        <v>534</v>
      </c>
      <c r="H2321" s="339"/>
      <c r="I2321" s="339"/>
      <c r="J2321" s="339"/>
      <c r="K2321" s="886">
        <v>1.0900000000000001</v>
      </c>
      <c r="L2321" s="844"/>
      <c r="M2321" s="434"/>
      <c r="N2321" s="420"/>
      <c r="O2321" s="59"/>
      <c r="P2321" s="412"/>
      <c r="Q2321" s="391"/>
      <c r="R2321" s="393"/>
    </row>
    <row r="2322" spans="1:18" ht="30" customHeight="1" x14ac:dyDescent="0.25">
      <c r="A2322" s="61"/>
      <c r="B2322" s="410"/>
      <c r="C2322" s="410"/>
      <c r="D2322" s="410"/>
      <c r="E2322" s="410"/>
      <c r="F2322" s="343"/>
      <c r="G2322" s="344" t="s">
        <v>535</v>
      </c>
      <c r="H2322" s="344"/>
      <c r="I2322" s="344"/>
      <c r="J2322" s="344"/>
      <c r="K2322" s="340">
        <v>1.02</v>
      </c>
      <c r="L2322" s="844"/>
      <c r="M2322" s="434"/>
      <c r="N2322" s="420"/>
      <c r="O2322" s="59"/>
      <c r="P2322" s="412"/>
      <c r="Q2322" s="391"/>
      <c r="R2322" s="393"/>
    </row>
    <row r="2323" spans="1:18" ht="30" customHeight="1" x14ac:dyDescent="0.25">
      <c r="A2323" s="1150"/>
      <c r="B2323" s="1197"/>
      <c r="C2323" s="1197"/>
      <c r="D2323" s="1197"/>
      <c r="E2323" s="1197"/>
      <c r="F2323" s="1197"/>
      <c r="G2323" s="1197"/>
      <c r="H2323" s="64"/>
      <c r="I2323" s="64"/>
      <c r="J2323" s="24" t="s">
        <v>358</v>
      </c>
      <c r="K2323" s="1198">
        <f>+K2320*K2321/K2322</f>
        <v>127.81502367473151</v>
      </c>
      <c r="L2323" s="1136" t="s">
        <v>9</v>
      </c>
      <c r="M2323" s="434"/>
      <c r="N2323" s="420"/>
      <c r="O2323" s="59"/>
      <c r="P2323" s="412"/>
      <c r="Q2323" s="391"/>
      <c r="R2323" s="393"/>
    </row>
    <row r="2324" spans="1:18" ht="30" customHeight="1" x14ac:dyDescent="0.25">
      <c r="A2324" s="1150"/>
      <c r="B2324" s="1199"/>
      <c r="C2324" s="1199"/>
      <c r="D2324" s="1199"/>
      <c r="E2324" s="1199"/>
      <c r="G2324" s="1199"/>
      <c r="H2324" s="64"/>
      <c r="I2324" s="1171" t="s">
        <v>652</v>
      </c>
      <c r="J2324" s="447">
        <f>VLOOKUP(B2307,'Mil Cost Premiums for RUCs'!$A$4:$R$265,18,FALSE)</f>
        <v>1.3319480854780448</v>
      </c>
      <c r="K2324" s="1198">
        <f>+K2323*J2324</f>
        <v>170.2429760788896</v>
      </c>
      <c r="L2324" s="1136" t="s">
        <v>9</v>
      </c>
      <c r="M2324" s="434"/>
      <c r="N2324" s="420"/>
      <c r="O2324" s="59"/>
      <c r="P2324" s="412"/>
      <c r="Q2324" s="391"/>
      <c r="R2324" s="393"/>
    </row>
    <row r="2325" spans="1:18" ht="75" customHeight="1" x14ac:dyDescent="0.25">
      <c r="A2325" s="576" t="s">
        <v>538</v>
      </c>
      <c r="B2325" s="576"/>
      <c r="C2325" s="576"/>
      <c r="D2325" s="576"/>
      <c r="E2325" s="576"/>
      <c r="F2325" s="576"/>
      <c r="G2325" s="576"/>
      <c r="H2325" s="576"/>
      <c r="I2325" s="576"/>
      <c r="J2325" s="576"/>
      <c r="K2325" s="576"/>
      <c r="L2325" s="576"/>
      <c r="M2325" s="1906"/>
      <c r="N2325" s="671"/>
      <c r="O2325" s="59"/>
      <c r="P2325" s="412"/>
      <c r="Q2325" s="391"/>
      <c r="R2325" s="393"/>
    </row>
    <row r="2326" spans="1:18" ht="30" customHeight="1" x14ac:dyDescent="0.25">
      <c r="A2326" s="1044" t="s">
        <v>539</v>
      </c>
      <c r="B2326" s="1045"/>
      <c r="C2326" s="1046"/>
      <c r="D2326" s="386" t="s">
        <v>1746</v>
      </c>
      <c r="E2326" s="849"/>
      <c r="F2326" s="849"/>
      <c r="G2326" s="849"/>
      <c r="H2326" s="849"/>
      <c r="I2326" s="849"/>
      <c r="J2326" s="849"/>
      <c r="K2326" s="849"/>
      <c r="L2326" s="849"/>
      <c r="M2326" s="1907"/>
      <c r="O2326" s="412"/>
      <c r="P2326" s="391"/>
      <c r="Q2326" s="393"/>
    </row>
    <row r="2327" spans="1:18" s="49" customFormat="1" ht="30" customHeight="1" x14ac:dyDescent="0.25">
      <c r="A2327" s="1044" t="s">
        <v>541</v>
      </c>
      <c r="B2327" s="1045"/>
      <c r="C2327" s="1046"/>
      <c r="D2327" s="386" t="s">
        <v>1747</v>
      </c>
      <c r="E2327" s="849"/>
      <c r="F2327" s="849"/>
      <c r="G2327" s="849"/>
      <c r="H2327" s="849"/>
      <c r="I2327" s="849"/>
      <c r="J2327" s="849"/>
      <c r="K2327" s="849"/>
      <c r="L2327" s="849"/>
      <c r="M2327" s="1907"/>
      <c r="N2327" s="502"/>
      <c r="O2327" s="412"/>
      <c r="P2327" s="391"/>
      <c r="Q2327" s="393"/>
    </row>
    <row r="2328" spans="1:18" ht="30" customHeight="1" x14ac:dyDescent="0.25">
      <c r="A2328" s="1044" t="s">
        <v>543</v>
      </c>
      <c r="B2328" s="1045"/>
      <c r="C2328" s="1046"/>
      <c r="D2328" s="386" t="s">
        <v>1748</v>
      </c>
      <c r="E2328" s="849"/>
      <c r="F2328" s="849"/>
      <c r="G2328" s="849"/>
      <c r="H2328" s="849"/>
      <c r="I2328" s="849"/>
      <c r="J2328" s="849"/>
      <c r="K2328" s="849"/>
      <c r="L2328" s="849"/>
      <c r="M2328" s="1907"/>
      <c r="O2328" s="412"/>
      <c r="P2328" s="391"/>
      <c r="Q2328" s="393"/>
    </row>
    <row r="2329" spans="1:18" ht="30" customHeight="1" x14ac:dyDescent="0.25">
      <c r="A2329" s="1044" t="s">
        <v>546</v>
      </c>
      <c r="B2329" s="1045"/>
      <c r="C2329" s="1046"/>
      <c r="D2329" s="386" t="s">
        <v>1749</v>
      </c>
      <c r="E2329" s="849"/>
      <c r="F2329" s="849"/>
      <c r="G2329" s="849"/>
      <c r="H2329" s="849"/>
      <c r="I2329" s="849"/>
      <c r="J2329" s="849"/>
      <c r="K2329" s="849"/>
      <c r="L2329" s="849"/>
      <c r="M2329" s="1907"/>
      <c r="O2329" s="412"/>
      <c r="P2329" s="391"/>
      <c r="Q2329" s="393"/>
    </row>
    <row r="2330" spans="1:18" ht="75" customHeight="1" x14ac:dyDescent="0.25">
      <c r="A2330" s="1044" t="s">
        <v>548</v>
      </c>
      <c r="B2330" s="1045"/>
      <c r="C2330" s="1046"/>
      <c r="D2330" s="386" t="s">
        <v>1750</v>
      </c>
      <c r="E2330" s="849"/>
      <c r="F2330" s="849"/>
      <c r="G2330" s="849"/>
      <c r="H2330" s="849"/>
      <c r="I2330" s="849"/>
      <c r="J2330" s="849"/>
      <c r="K2330" s="849"/>
      <c r="L2330" s="849"/>
      <c r="M2330" s="1907"/>
      <c r="O2330" s="412"/>
      <c r="P2330" s="391"/>
      <c r="Q2330" s="393"/>
    </row>
    <row r="2331" spans="1:18" ht="30" customHeight="1" x14ac:dyDescent="0.25">
      <c r="A2331" s="1044" t="s">
        <v>550</v>
      </c>
      <c r="B2331" s="1045"/>
      <c r="C2331" s="1046"/>
      <c r="D2331" s="386" t="s">
        <v>1751</v>
      </c>
      <c r="E2331" s="849"/>
      <c r="F2331" s="849"/>
      <c r="G2331" s="849"/>
      <c r="H2331" s="849"/>
      <c r="I2331" s="849"/>
      <c r="J2331" s="849"/>
      <c r="K2331" s="849"/>
      <c r="L2331" s="849"/>
      <c r="M2331" s="1907"/>
      <c r="O2331" s="412"/>
      <c r="P2331" s="391"/>
      <c r="Q2331" s="393"/>
    </row>
    <row r="2332" spans="1:18" ht="30" customHeight="1" x14ac:dyDescent="0.25">
      <c r="A2332" s="1044" t="s">
        <v>552</v>
      </c>
      <c r="B2332" s="1045"/>
      <c r="C2332" s="1046"/>
      <c r="D2332" s="386" t="s">
        <v>1252</v>
      </c>
      <c r="E2332" s="849"/>
      <c r="F2332" s="849"/>
      <c r="G2332" s="849"/>
      <c r="H2332" s="849"/>
      <c r="I2332" s="849"/>
      <c r="J2332" s="849"/>
      <c r="K2332" s="849"/>
      <c r="L2332" s="849"/>
      <c r="M2332" s="1907"/>
      <c r="O2332" s="412"/>
      <c r="P2332" s="391"/>
      <c r="Q2332" s="393"/>
    </row>
    <row r="2333" spans="1:18" ht="75" customHeight="1" x14ac:dyDescent="0.25">
      <c r="A2333" s="1044" t="s">
        <v>553</v>
      </c>
      <c r="B2333" s="1045"/>
      <c r="C2333" s="1046"/>
      <c r="D2333" s="386" t="s">
        <v>660</v>
      </c>
      <c r="E2333" s="849"/>
      <c r="F2333" s="849"/>
      <c r="G2333" s="849"/>
      <c r="H2333" s="849"/>
      <c r="I2333" s="849"/>
      <c r="J2333" s="849"/>
      <c r="K2333" s="849"/>
      <c r="L2333" s="849"/>
      <c r="M2333" s="1907"/>
      <c r="O2333" s="412"/>
      <c r="P2333" s="391"/>
      <c r="Q2333" s="393"/>
    </row>
    <row r="2334" spans="1:18" ht="45" customHeight="1" thickBot="1" x14ac:dyDescent="0.3">
      <c r="A2334" s="1044" t="s">
        <v>556</v>
      </c>
      <c r="B2334" s="1045"/>
      <c r="C2334" s="1046"/>
      <c r="D2334" s="960" t="s">
        <v>1752</v>
      </c>
      <c r="E2334" s="961"/>
      <c r="F2334" s="961"/>
      <c r="G2334" s="961"/>
      <c r="H2334" s="961"/>
      <c r="I2334" s="961"/>
      <c r="J2334" s="961"/>
      <c r="K2334" s="961"/>
      <c r="L2334" s="961"/>
      <c r="M2334" s="1907"/>
      <c r="O2334" s="412"/>
      <c r="P2334" s="391"/>
      <c r="Q2334" s="393"/>
    </row>
    <row r="2335" spans="1:18" ht="30" customHeight="1" thickBot="1" x14ac:dyDescent="0.3">
      <c r="A2335" s="76"/>
      <c r="B2335" s="77"/>
      <c r="C2335" s="77"/>
      <c r="D2335" s="77"/>
      <c r="E2335" s="77"/>
      <c r="F2335" s="77"/>
      <c r="G2335" s="77"/>
      <c r="H2335" s="77"/>
      <c r="I2335" s="77"/>
      <c r="J2335" s="77"/>
      <c r="K2335" s="77"/>
      <c r="L2335" s="78"/>
      <c r="M2335" s="1907"/>
      <c r="O2335" s="412"/>
      <c r="P2335" s="391"/>
      <c r="Q2335" s="393"/>
    </row>
    <row r="2336" spans="1:18" ht="30" customHeight="1" x14ac:dyDescent="0.25">
      <c r="A2336" s="207" t="s">
        <v>288</v>
      </c>
      <c r="B2336" s="208">
        <v>3711</v>
      </c>
      <c r="C2336" s="282" t="s">
        <v>1753</v>
      </c>
      <c r="D2336" s="283"/>
      <c r="E2336" s="177" t="s">
        <v>291</v>
      </c>
      <c r="F2336" s="178" t="s">
        <v>9</v>
      </c>
      <c r="G2336" s="123" t="s">
        <v>375</v>
      </c>
      <c r="H2336" s="302">
        <v>2417</v>
      </c>
      <c r="I2336" s="177" t="s">
        <v>292</v>
      </c>
      <c r="J2336" s="38" t="s">
        <v>1754</v>
      </c>
      <c r="K2336" s="39"/>
      <c r="L2336" s="40"/>
      <c r="M2336" s="1907"/>
      <c r="O2336" s="412"/>
      <c r="P2336" s="391"/>
      <c r="Q2336" s="393"/>
    </row>
    <row r="2337" spans="1:18" ht="30" customHeight="1" x14ac:dyDescent="0.25">
      <c r="A2337" s="181" t="s">
        <v>517</v>
      </c>
      <c r="B2337" s="180" t="s">
        <v>295</v>
      </c>
      <c r="C2337" s="180"/>
      <c r="D2337" s="180"/>
      <c r="E2337" s="285" t="s">
        <v>519</v>
      </c>
      <c r="F2337" s="181" t="s">
        <v>518</v>
      </c>
      <c r="G2337" s="665"/>
      <c r="H2337" s="666"/>
      <c r="I2337" s="286" t="s">
        <v>520</v>
      </c>
      <c r="J2337" s="287"/>
      <c r="K2337" s="493" t="s">
        <v>521</v>
      </c>
      <c r="L2337" s="494"/>
      <c r="M2337" s="1907"/>
      <c r="O2337" s="412"/>
      <c r="P2337" s="391"/>
      <c r="Q2337" s="393"/>
    </row>
    <row r="2338" spans="1:18" ht="30" customHeight="1" x14ac:dyDescent="0.25">
      <c r="A2338" s="20">
        <v>17123</v>
      </c>
      <c r="B2338" s="402" t="s">
        <v>1755</v>
      </c>
      <c r="C2338" s="403"/>
      <c r="D2338" s="404"/>
      <c r="E2338" s="1206">
        <v>307</v>
      </c>
      <c r="F2338" s="1207">
        <v>1100</v>
      </c>
      <c r="G2338" s="680"/>
      <c r="H2338" s="680"/>
      <c r="I2338" s="1109">
        <f>+'MILCON Inflation Table'!F16</f>
        <v>0.96211202832457809</v>
      </c>
      <c r="J2338" s="1110"/>
      <c r="K2338" s="304">
        <f>+I2338*E2338</f>
        <v>295.36839269564547</v>
      </c>
      <c r="L2338" s="290" t="s">
        <v>9</v>
      </c>
      <c r="M2338" s="1907"/>
      <c r="O2338" s="412"/>
      <c r="P2338" s="391"/>
      <c r="Q2338" s="393"/>
    </row>
    <row r="2339" spans="1:18" ht="30" customHeight="1" x14ac:dyDescent="0.25">
      <c r="A2339" s="20">
        <v>17213</v>
      </c>
      <c r="B2339" s="402" t="s">
        <v>1756</v>
      </c>
      <c r="C2339" s="403"/>
      <c r="D2339" s="404"/>
      <c r="E2339" s="1206">
        <v>396</v>
      </c>
      <c r="F2339" s="1207">
        <v>36210</v>
      </c>
      <c r="G2339" s="1125"/>
      <c r="H2339" s="1126"/>
      <c r="I2339" s="1109">
        <f>+'MILCON Inflation Table'!F17</f>
        <v>0.9432470865927236</v>
      </c>
      <c r="J2339" s="1110"/>
      <c r="K2339" s="304">
        <f>+I2339*E2339</f>
        <v>373.52584629071856</v>
      </c>
      <c r="L2339" s="290" t="s">
        <v>9</v>
      </c>
      <c r="M2339" s="1907"/>
      <c r="O2339" s="412"/>
      <c r="P2339" s="391"/>
      <c r="Q2339" s="393"/>
    </row>
    <row r="2340" spans="1:18" ht="30" customHeight="1" thickBot="1" x14ac:dyDescent="0.3">
      <c r="A2340" s="20"/>
      <c r="B2340" s="503"/>
      <c r="C2340" s="504"/>
      <c r="D2340" s="505"/>
      <c r="E2340" s="465"/>
      <c r="F2340" s="763"/>
      <c r="G2340" s="465"/>
      <c r="H2340" s="764"/>
      <c r="I2340" s="18"/>
      <c r="J2340" s="185" t="s">
        <v>358</v>
      </c>
      <c r="K2340" s="305">
        <f>AVERAGE(K2338:K2339)</f>
        <v>334.44711949318202</v>
      </c>
      <c r="L2340" s="290" t="s">
        <v>9</v>
      </c>
      <c r="M2340" s="955"/>
      <c r="N2340" s="671"/>
      <c r="O2340" s="43"/>
      <c r="P2340" s="672"/>
      <c r="Q2340" s="671"/>
      <c r="R2340" s="673"/>
    </row>
    <row r="2341" spans="1:18" ht="30" customHeight="1" thickBot="1" x14ac:dyDescent="0.3">
      <c r="A2341" s="76"/>
      <c r="B2341" s="77"/>
      <c r="C2341" s="77"/>
      <c r="D2341" s="77"/>
      <c r="E2341" s="77"/>
      <c r="F2341" s="77"/>
      <c r="G2341" s="77"/>
      <c r="H2341" s="77"/>
      <c r="I2341" s="77"/>
      <c r="J2341" s="77"/>
      <c r="K2341" s="77"/>
      <c r="L2341" s="78"/>
      <c r="M2341" s="955"/>
      <c r="N2341" s="671"/>
      <c r="O2341" s="43"/>
      <c r="P2341" s="672"/>
      <c r="Q2341" s="671"/>
      <c r="R2341" s="673"/>
    </row>
    <row r="2342" spans="1:18" ht="30" customHeight="1" x14ac:dyDescent="0.25">
      <c r="A2342" s="207" t="s">
        <v>288</v>
      </c>
      <c r="B2342" s="208">
        <v>3712</v>
      </c>
      <c r="C2342" s="282" t="s">
        <v>1757</v>
      </c>
      <c r="D2342" s="283"/>
      <c r="E2342" s="177" t="s">
        <v>291</v>
      </c>
      <c r="F2342" s="178" t="s">
        <v>11</v>
      </c>
      <c r="G2342" s="250" t="s">
        <v>290</v>
      </c>
      <c r="H2342" s="302">
        <v>1</v>
      </c>
      <c r="I2342" s="177" t="s">
        <v>292</v>
      </c>
      <c r="J2342" s="38" t="s">
        <v>1758</v>
      </c>
      <c r="K2342" s="39"/>
      <c r="L2342" s="40"/>
      <c r="M2342" s="1907"/>
      <c r="O2342" s="412"/>
      <c r="P2342" s="391"/>
      <c r="Q2342" s="393"/>
    </row>
    <row r="2343" spans="1:18" ht="30" customHeight="1" x14ac:dyDescent="0.25">
      <c r="A2343" s="181" t="s">
        <v>517</v>
      </c>
      <c r="B2343" s="180" t="s">
        <v>295</v>
      </c>
      <c r="C2343" s="180"/>
      <c r="D2343" s="180"/>
      <c r="E2343" s="285" t="s">
        <v>519</v>
      </c>
      <c r="F2343" s="181" t="s">
        <v>518</v>
      </c>
      <c r="G2343" s="665" t="s">
        <v>2</v>
      </c>
      <c r="H2343" s="666"/>
      <c r="I2343" s="286" t="s">
        <v>520</v>
      </c>
      <c r="J2343" s="287"/>
      <c r="K2343" s="493" t="s">
        <v>521</v>
      </c>
      <c r="L2343" s="494"/>
      <c r="M2343" s="1907"/>
      <c r="O2343" s="412"/>
      <c r="P2343" s="391"/>
      <c r="Q2343" s="393"/>
    </row>
    <row r="2344" spans="1:18" ht="30" customHeight="1" x14ac:dyDescent="0.25">
      <c r="A2344" s="290">
        <v>62010</v>
      </c>
      <c r="B2344" s="214" t="s">
        <v>1759</v>
      </c>
      <c r="C2344" s="214"/>
      <c r="D2344" s="214"/>
      <c r="E2344" s="1206">
        <v>235</v>
      </c>
      <c r="F2344" s="1208">
        <v>230</v>
      </c>
      <c r="G2344" s="290" t="s">
        <v>9</v>
      </c>
      <c r="H2344" s="1209"/>
      <c r="I2344" s="1109">
        <f>+'MILCON Inflation Table'!F8</f>
        <v>1.2318227593152065</v>
      </c>
      <c r="J2344" s="1110"/>
      <c r="K2344" s="1075">
        <f>+E2344*F2344*I2344</f>
        <v>66580.020140986904</v>
      </c>
      <c r="L2344" s="290" t="s">
        <v>11</v>
      </c>
      <c r="M2344" s="986"/>
      <c r="N2344" s="420"/>
      <c r="O2344"/>
      <c r="P2344" s="412"/>
      <c r="Q2344" s="391"/>
      <c r="R2344" s="393"/>
    </row>
    <row r="2345" spans="1:18" ht="30" customHeight="1" x14ac:dyDescent="0.25">
      <c r="A2345" s="20">
        <v>17971</v>
      </c>
      <c r="B2345" s="402" t="s">
        <v>1760</v>
      </c>
      <c r="C2345" s="403"/>
      <c r="D2345" s="404"/>
      <c r="E2345" s="1206">
        <v>606194</v>
      </c>
      <c r="F2345" s="729">
        <v>1</v>
      </c>
      <c r="G2345" s="680" t="s">
        <v>11</v>
      </c>
      <c r="H2345" s="680"/>
      <c r="I2345" s="295">
        <f>+'MILCON Inflation Table'!F16</f>
        <v>0.96211202832457809</v>
      </c>
      <c r="J2345" s="296"/>
      <c r="K2345" s="1075">
        <f>+E2345*I2345</f>
        <v>583226.53889818932</v>
      </c>
      <c r="L2345" s="290" t="s">
        <v>11</v>
      </c>
      <c r="M2345" s="434"/>
      <c r="N2345" s="420"/>
      <c r="O2345"/>
      <c r="P2345" s="412"/>
      <c r="Q2345" s="391"/>
      <c r="R2345" s="393"/>
    </row>
    <row r="2346" spans="1:18" ht="30" customHeight="1" x14ac:dyDescent="0.25">
      <c r="A2346" s="20" t="s">
        <v>1761</v>
      </c>
      <c r="B2346" s="402" t="s">
        <v>1762</v>
      </c>
      <c r="C2346" s="403"/>
      <c r="D2346" s="404"/>
      <c r="E2346" s="1206">
        <f>+K323</f>
        <v>63350.139649509802</v>
      </c>
      <c r="F2346" s="729">
        <v>1</v>
      </c>
      <c r="G2346" s="680" t="s">
        <v>11</v>
      </c>
      <c r="H2346" s="680"/>
      <c r="I2346" s="1109"/>
      <c r="J2346" s="1110"/>
      <c r="K2346" s="1206">
        <f>+E2346</f>
        <v>63350.139649509802</v>
      </c>
      <c r="L2346" s="290" t="s">
        <v>11</v>
      </c>
      <c r="M2346" s="434"/>
      <c r="N2346" s="420"/>
      <c r="O2346"/>
      <c r="P2346" s="412"/>
      <c r="Q2346" s="391"/>
      <c r="R2346" s="393"/>
    </row>
    <row r="2347" spans="1:18" ht="30" customHeight="1" x14ac:dyDescent="0.25">
      <c r="A2347" s="20"/>
      <c r="B2347" s="919"/>
      <c r="C2347" s="920"/>
      <c r="D2347" s="750"/>
      <c r="E2347" s="682"/>
      <c r="F2347" s="1124"/>
      <c r="G2347" s="1125"/>
      <c r="H2347" s="1126"/>
      <c r="I2347" s="1210"/>
      <c r="J2347" s="1128" t="s">
        <v>578</v>
      </c>
      <c r="K2347" s="1075">
        <f>SUM(K2344:K2346)</f>
        <v>713156.69868868601</v>
      </c>
      <c r="L2347" s="290" t="s">
        <v>11</v>
      </c>
      <c r="M2347" s="434"/>
      <c r="N2347" s="420"/>
      <c r="O2347"/>
      <c r="P2347" s="412"/>
      <c r="Q2347" s="391"/>
      <c r="R2347" s="393"/>
    </row>
    <row r="2348" spans="1:18" ht="30" customHeight="1" thickBot="1" x14ac:dyDescent="0.3">
      <c r="A2348" s="20"/>
      <c r="B2348" s="503"/>
      <c r="C2348" s="504"/>
      <c r="D2348" s="505"/>
      <c r="E2348" s="465"/>
      <c r="F2348" s="763"/>
      <c r="G2348" s="465"/>
      <c r="H2348" s="764"/>
      <c r="I2348" s="764"/>
      <c r="J2348" s="185" t="s">
        <v>358</v>
      </c>
      <c r="K2348" s="1075">
        <f>+K2347</f>
        <v>713156.69868868601</v>
      </c>
      <c r="L2348" s="290" t="s">
        <v>11</v>
      </c>
      <c r="M2348" s="434"/>
      <c r="N2348" s="420"/>
      <c r="O2348"/>
      <c r="P2348" s="412"/>
      <c r="Q2348" s="391"/>
      <c r="R2348" s="393"/>
    </row>
    <row r="2349" spans="1:18" ht="30" customHeight="1" thickBot="1" x14ac:dyDescent="0.3">
      <c r="A2349" s="76"/>
      <c r="B2349" s="77"/>
      <c r="C2349" s="77"/>
      <c r="D2349" s="77"/>
      <c r="E2349" s="77"/>
      <c r="F2349" s="77"/>
      <c r="G2349" s="77"/>
      <c r="H2349" s="77"/>
      <c r="I2349" s="77"/>
      <c r="J2349" s="77"/>
      <c r="K2349" s="77"/>
      <c r="L2349" s="78"/>
      <c r="M2349" s="434"/>
      <c r="N2349" s="420"/>
      <c r="O2349"/>
      <c r="P2349" s="412"/>
      <c r="Q2349" s="391"/>
      <c r="R2349" s="393"/>
    </row>
    <row r="2350" spans="1:18" ht="30" customHeight="1" x14ac:dyDescent="0.25">
      <c r="A2350" s="207" t="s">
        <v>288</v>
      </c>
      <c r="B2350" s="208">
        <v>3713</v>
      </c>
      <c r="C2350" s="282" t="s">
        <v>1763</v>
      </c>
      <c r="D2350" s="283"/>
      <c r="E2350" s="177" t="s">
        <v>291</v>
      </c>
      <c r="F2350" s="178" t="s">
        <v>11</v>
      </c>
      <c r="G2350" s="250" t="s">
        <v>290</v>
      </c>
      <c r="H2350" s="302">
        <v>1</v>
      </c>
      <c r="I2350" s="177" t="s">
        <v>292</v>
      </c>
      <c r="J2350" s="38" t="s">
        <v>1764</v>
      </c>
      <c r="K2350" s="39"/>
      <c r="L2350" s="40"/>
      <c r="M2350" s="434"/>
      <c r="N2350" s="420"/>
      <c r="O2350"/>
      <c r="P2350" s="412"/>
      <c r="Q2350" s="391"/>
      <c r="R2350" s="393"/>
    </row>
    <row r="2351" spans="1:18" ht="30" customHeight="1" x14ac:dyDescent="0.25">
      <c r="A2351" s="181" t="s">
        <v>517</v>
      </c>
      <c r="B2351" s="180" t="s">
        <v>295</v>
      </c>
      <c r="C2351" s="180"/>
      <c r="D2351" s="180"/>
      <c r="E2351" s="285" t="s">
        <v>519</v>
      </c>
      <c r="F2351" s="181" t="s">
        <v>518</v>
      </c>
      <c r="G2351" s="665" t="s">
        <v>2</v>
      </c>
      <c r="H2351" s="666"/>
      <c r="I2351" s="286" t="s">
        <v>520</v>
      </c>
      <c r="J2351" s="287"/>
      <c r="K2351" s="493" t="s">
        <v>521</v>
      </c>
      <c r="L2351" s="494"/>
      <c r="M2351" s="1157"/>
      <c r="N2351" s="420"/>
      <c r="O2351"/>
      <c r="P2351" s="412"/>
      <c r="Q2351" s="391"/>
      <c r="R2351" s="393"/>
    </row>
    <row r="2352" spans="1:18" ht="30" customHeight="1" x14ac:dyDescent="0.25">
      <c r="A2352" s="20">
        <v>17123</v>
      </c>
      <c r="B2352" s="402" t="s">
        <v>1765</v>
      </c>
      <c r="C2352" s="403"/>
      <c r="D2352" s="404"/>
      <c r="E2352" s="1206">
        <v>207</v>
      </c>
      <c r="F2352" s="1211">
        <v>2576</v>
      </c>
      <c r="G2352" s="680" t="s">
        <v>9</v>
      </c>
      <c r="H2352" s="680"/>
      <c r="I2352" s="1109">
        <f>+'MILCON Inflation Table'!F10</f>
        <v>1.1691837124832727</v>
      </c>
      <c r="J2352" s="1110"/>
      <c r="K2352" s="1075">
        <f>+E2352*F2352*I2352</f>
        <v>623446.1693748805</v>
      </c>
      <c r="L2352" s="290" t="s">
        <v>11</v>
      </c>
      <c r="M2352" s="434"/>
      <c r="N2352" s="420"/>
      <c r="O2352"/>
      <c r="P2352" s="412"/>
      <c r="Q2352" s="391"/>
      <c r="R2352" s="393"/>
    </row>
    <row r="2353" spans="1:21" ht="30" customHeight="1" x14ac:dyDescent="0.25">
      <c r="A2353" s="20">
        <v>62010</v>
      </c>
      <c r="B2353" s="214" t="s">
        <v>813</v>
      </c>
      <c r="C2353" s="214"/>
      <c r="D2353" s="214"/>
      <c r="E2353" s="1206">
        <v>235</v>
      </c>
      <c r="F2353" s="1212">
        <v>230</v>
      </c>
      <c r="G2353" s="290" t="s">
        <v>9</v>
      </c>
      <c r="H2353" s="1209"/>
      <c r="I2353" s="1109">
        <f>+'MILCON Inflation Table'!F8</f>
        <v>1.2318227593152065</v>
      </c>
      <c r="J2353" s="1110"/>
      <c r="K2353" s="1075">
        <f>+E2353*F2353*I2353</f>
        <v>66580.020140986904</v>
      </c>
      <c r="L2353" s="290" t="s">
        <v>11</v>
      </c>
      <c r="M2353" s="434"/>
      <c r="N2353" s="342"/>
      <c r="O2353" s="42"/>
      <c r="P2353" s="41"/>
      <c r="Q2353" s="41"/>
      <c r="R2353" s="41"/>
      <c r="S2353" s="41"/>
      <c r="T2353" s="41"/>
      <c r="U2353" s="43"/>
    </row>
    <row r="2354" spans="1:21" ht="30" customHeight="1" x14ac:dyDescent="0.25">
      <c r="A2354" s="20">
        <v>17971</v>
      </c>
      <c r="B2354" s="402" t="s">
        <v>1766</v>
      </c>
      <c r="C2354" s="403"/>
      <c r="D2354" s="404"/>
      <c r="E2354" s="1206">
        <v>606194</v>
      </c>
      <c r="F2354" s="1211">
        <v>1</v>
      </c>
      <c r="G2354" s="680" t="s">
        <v>11</v>
      </c>
      <c r="H2354" s="680"/>
      <c r="I2354" s="295">
        <f>+'MILCON Inflation Table'!F16</f>
        <v>0.96211202832457809</v>
      </c>
      <c r="J2354" s="296"/>
      <c r="K2354" s="1075">
        <f>+E2354*I2354</f>
        <v>583226.53889818932</v>
      </c>
      <c r="L2354" s="290" t="s">
        <v>11</v>
      </c>
      <c r="U2354" s="43"/>
    </row>
    <row r="2355" spans="1:21" s="41" customFormat="1" ht="30" customHeight="1" x14ac:dyDescent="0.25">
      <c r="A2355" s="20">
        <v>85110</v>
      </c>
      <c r="B2355" s="191" t="s">
        <v>1767</v>
      </c>
      <c r="C2355" s="191"/>
      <c r="D2355" s="191"/>
      <c r="E2355" s="1206">
        <v>57</v>
      </c>
      <c r="F2355" s="1211">
        <v>240</v>
      </c>
      <c r="G2355" s="680" t="s">
        <v>3</v>
      </c>
      <c r="H2355" s="680"/>
      <c r="I2355" s="295">
        <f>+'MILCON Inflation Table'!F16</f>
        <v>0.96211202832457809</v>
      </c>
      <c r="J2355" s="296"/>
      <c r="K2355" s="1075">
        <f>+E2355*F2355*I2355</f>
        <v>13161.692547480228</v>
      </c>
      <c r="L2355" s="290" t="s">
        <v>11</v>
      </c>
      <c r="M2355" s="341"/>
      <c r="N2355" s="25"/>
      <c r="O2355" s="27"/>
      <c r="P2355"/>
      <c r="Q2355"/>
      <c r="R2355"/>
      <c r="S2355"/>
      <c r="T2355"/>
    </row>
    <row r="2356" spans="1:21" s="49" customFormat="1" ht="30" customHeight="1" x14ac:dyDescent="0.25">
      <c r="A2356" s="20" t="s">
        <v>1761</v>
      </c>
      <c r="B2356" s="191" t="s">
        <v>1768</v>
      </c>
      <c r="C2356" s="191"/>
      <c r="D2356" s="191"/>
      <c r="E2356" s="1206">
        <f>+K323</f>
        <v>63350.139649509802</v>
      </c>
      <c r="F2356" s="1211">
        <v>1</v>
      </c>
      <c r="G2356" s="680" t="s">
        <v>11</v>
      </c>
      <c r="H2356" s="680"/>
      <c r="I2356" s="1127"/>
      <c r="J2356" s="1128"/>
      <c r="K2356" s="1206">
        <f>+E2356</f>
        <v>63350.139649509802</v>
      </c>
      <c r="L2356" s="290" t="s">
        <v>11</v>
      </c>
      <c r="M2356" s="502"/>
      <c r="N2356" s="502"/>
      <c r="O2356" s="27"/>
    </row>
    <row r="2357" spans="1:21" ht="30" customHeight="1" thickBot="1" x14ac:dyDescent="0.3">
      <c r="A2357" s="20"/>
      <c r="B2357" s="1213" t="s">
        <v>1769</v>
      </c>
      <c r="C2357" s="1214"/>
      <c r="D2357" s="1215"/>
      <c r="E2357" s="465"/>
      <c r="F2357" s="763"/>
      <c r="G2357" s="465"/>
      <c r="H2357" s="764"/>
      <c r="I2357" s="18"/>
      <c r="J2357" s="185" t="s">
        <v>358</v>
      </c>
      <c r="K2357" s="1075">
        <f>SUM(K2352:K2356)</f>
        <v>1349764.5606110469</v>
      </c>
      <c r="L2357" s="290" t="s">
        <v>11</v>
      </c>
      <c r="P2357" s="43"/>
      <c r="Q2357" s="43"/>
      <c r="R2357" s="43"/>
      <c r="S2357" s="60"/>
      <c r="T2357" s="60"/>
    </row>
    <row r="2358" spans="1:21" ht="30" customHeight="1" thickBot="1" x14ac:dyDescent="0.3">
      <c r="A2358" s="76"/>
      <c r="B2358" s="77"/>
      <c r="C2358" s="77"/>
      <c r="D2358" s="77"/>
      <c r="E2358" s="77"/>
      <c r="F2358" s="77"/>
      <c r="G2358" s="77"/>
      <c r="H2358" s="77"/>
      <c r="I2358" s="77"/>
      <c r="J2358" s="77"/>
      <c r="K2358" s="77"/>
      <c r="L2358" s="78"/>
      <c r="M2358" s="43"/>
      <c r="P2358" s="43"/>
      <c r="Q2358" s="43"/>
      <c r="R2358" s="43"/>
      <c r="S2358" s="60"/>
      <c r="T2358" s="60"/>
    </row>
    <row r="2359" spans="1:21" ht="30" customHeight="1" x14ac:dyDescent="0.25">
      <c r="A2359" s="30" t="s">
        <v>288</v>
      </c>
      <c r="B2359" s="31">
        <v>3904</v>
      </c>
      <c r="C2359" s="161" t="s">
        <v>1770</v>
      </c>
      <c r="D2359" s="162"/>
      <c r="E2359" s="36" t="s">
        <v>291</v>
      </c>
      <c r="F2359" s="37" t="s">
        <v>11</v>
      </c>
      <c r="G2359" s="123" t="s">
        <v>375</v>
      </c>
      <c r="H2359" s="179">
        <v>27772</v>
      </c>
      <c r="I2359" s="36" t="s">
        <v>292</v>
      </c>
      <c r="J2359" s="38" t="s">
        <v>1771</v>
      </c>
      <c r="K2359" s="39"/>
      <c r="L2359" s="40"/>
      <c r="N2359" s="342"/>
      <c r="O2359" s="42"/>
      <c r="P2359" s="41"/>
      <c r="Q2359" s="41"/>
      <c r="R2359" s="41"/>
      <c r="S2359" s="41"/>
      <c r="T2359" s="41"/>
      <c r="U2359" s="43"/>
    </row>
    <row r="2360" spans="1:21" ht="30" customHeight="1" x14ac:dyDescent="0.25">
      <c r="A2360" s="181" t="s">
        <v>517</v>
      </c>
      <c r="B2360" s="45" t="s">
        <v>295</v>
      </c>
      <c r="C2360" s="45"/>
      <c r="D2360" s="45"/>
      <c r="E2360" s="44" t="s">
        <v>821</v>
      </c>
      <c r="F2360" s="44" t="s">
        <v>561</v>
      </c>
      <c r="G2360" s="398" t="s">
        <v>562</v>
      </c>
      <c r="H2360" s="399"/>
      <c r="I2360" s="667" t="s">
        <v>569</v>
      </c>
      <c r="J2360" s="44" t="s">
        <v>737</v>
      </c>
      <c r="K2360" s="493" t="s">
        <v>521</v>
      </c>
      <c r="L2360" s="494"/>
      <c r="N2360" s="342"/>
      <c r="O2360" s="12"/>
      <c r="P2360" s="41"/>
      <c r="Q2360" s="41"/>
      <c r="R2360" s="41"/>
      <c r="S2360" s="41"/>
      <c r="T2360" s="41"/>
      <c r="U2360" s="43"/>
    </row>
    <row r="2361" spans="1:21" s="41" customFormat="1" ht="30" customHeight="1" x14ac:dyDescent="0.25">
      <c r="A2361" s="20">
        <v>21140</v>
      </c>
      <c r="B2361" s="503" t="s">
        <v>1341</v>
      </c>
      <c r="C2361" s="504"/>
      <c r="D2361" s="505"/>
      <c r="E2361" s="1206">
        <v>229</v>
      </c>
      <c r="F2361" s="1211" t="s">
        <v>9</v>
      </c>
      <c r="G2361" s="782">
        <f>H2359</f>
        <v>27772</v>
      </c>
      <c r="H2361" s="680" t="s">
        <v>565</v>
      </c>
      <c r="I2361" s="1863">
        <v>1.02</v>
      </c>
      <c r="J2361" s="1216">
        <f>+'MILCON Inflation Table'!F10</f>
        <v>1.1691837124832727</v>
      </c>
      <c r="K2361" s="1075">
        <f>+E2361*G2361*I2361*J2361</f>
        <v>7584475.7553354986</v>
      </c>
      <c r="L2361" s="290" t="s">
        <v>11</v>
      </c>
      <c r="M2361" s="1862"/>
      <c r="N2361" s="342"/>
      <c r="O2361" s="1217"/>
    </row>
    <row r="2362" spans="1:21" s="49" customFormat="1" ht="30" customHeight="1" x14ac:dyDescent="0.25">
      <c r="A2362" s="631" t="s">
        <v>1772</v>
      </c>
      <c r="B2362" s="192" t="s">
        <v>1773</v>
      </c>
      <c r="C2362" s="192"/>
      <c r="D2362" s="192"/>
      <c r="E2362" s="1218">
        <v>9590000</v>
      </c>
      <c r="F2362" s="251" t="s">
        <v>11</v>
      </c>
      <c r="G2362" s="232" t="s">
        <v>704</v>
      </c>
      <c r="H2362" s="742"/>
      <c r="I2362" s="1863">
        <v>1</v>
      </c>
      <c r="J2362" s="1219">
        <f>+'MILCON Inflation Table'!F4</f>
        <v>1.2231999999999998</v>
      </c>
      <c r="K2362" s="1220">
        <f>+E2362/I2362*J2362</f>
        <v>11730487.999999998</v>
      </c>
      <c r="L2362" s="51" t="s">
        <v>11</v>
      </c>
      <c r="M2362" s="1881"/>
      <c r="N2362" s="502"/>
      <c r="O2362" s="58"/>
    </row>
    <row r="2363" spans="1:21" s="41" customFormat="1" ht="30" customHeight="1" x14ac:dyDescent="0.25">
      <c r="A2363" s="51"/>
      <c r="B2363" s="96"/>
      <c r="C2363" s="96"/>
      <c r="D2363" s="96"/>
      <c r="E2363" s="264"/>
      <c r="F2363" s="51"/>
      <c r="G2363" s="64"/>
      <c r="H2363" s="742"/>
      <c r="I2363" s="1221"/>
      <c r="J2363" s="1221" t="s">
        <v>536</v>
      </c>
      <c r="K2363" s="1220">
        <f>AVERAGE(K2361:K2362)</f>
        <v>9657481.8776677474</v>
      </c>
      <c r="L2363" s="51" t="s">
        <v>11</v>
      </c>
      <c r="M2363" s="1881"/>
      <c r="N2363" s="25"/>
      <c r="O2363" s="58"/>
      <c r="P2363"/>
      <c r="Q2363"/>
      <c r="R2363"/>
      <c r="S2363"/>
      <c r="T2363"/>
    </row>
    <row r="2364" spans="1:21" s="41" customFormat="1" ht="30" customHeight="1" x14ac:dyDescent="0.25">
      <c r="A2364" s="61"/>
      <c r="B2364" s="191" t="s">
        <v>1769</v>
      </c>
      <c r="C2364" s="191"/>
      <c r="D2364" s="191"/>
      <c r="E2364" s="128"/>
      <c r="F2364" s="63"/>
      <c r="G2364" s="1222" t="s">
        <v>1774</v>
      </c>
      <c r="H2364" s="1223"/>
      <c r="I2364" s="1224"/>
      <c r="J2364" s="48" t="s">
        <v>358</v>
      </c>
      <c r="K2364" s="220">
        <f>+K2363</f>
        <v>9657481.8776677474</v>
      </c>
      <c r="L2364" s="61" t="s">
        <v>11</v>
      </c>
      <c r="M2364" s="341"/>
      <c r="N2364" s="25"/>
      <c r="O2364" s="58"/>
      <c r="P2364"/>
      <c r="Q2364"/>
      <c r="R2364"/>
      <c r="S2364"/>
      <c r="T2364"/>
    </row>
    <row r="2365" spans="1:21" ht="30" customHeight="1" thickBot="1" x14ac:dyDescent="0.3">
      <c r="A2365" s="580" t="s">
        <v>1775</v>
      </c>
      <c r="B2365" s="532"/>
      <c r="C2365" s="532"/>
      <c r="D2365" s="532"/>
      <c r="E2365" s="532"/>
      <c r="F2365" s="532"/>
      <c r="G2365" s="532"/>
      <c r="H2365" s="532"/>
      <c r="I2365" s="532"/>
      <c r="J2365" s="532"/>
      <c r="K2365" s="532"/>
      <c r="L2365" s="533"/>
      <c r="O2365" s="58"/>
      <c r="P2365" s="43"/>
      <c r="Q2365" s="43"/>
      <c r="R2365" s="43"/>
      <c r="S2365" s="60"/>
      <c r="T2365" s="60"/>
    </row>
    <row r="2366" spans="1:21" ht="30" customHeight="1" thickBot="1" x14ac:dyDescent="0.3">
      <c r="A2366" s="76"/>
      <c r="B2366" s="77"/>
      <c r="C2366" s="77"/>
      <c r="D2366" s="77"/>
      <c r="E2366" s="77"/>
      <c r="F2366" s="77"/>
      <c r="G2366" s="77"/>
      <c r="H2366" s="77"/>
      <c r="I2366" s="77"/>
      <c r="J2366" s="77"/>
      <c r="K2366" s="77"/>
      <c r="L2366" s="78"/>
      <c r="M2366" s="43"/>
      <c r="O2366" s="58"/>
      <c r="P2366" s="43"/>
      <c r="Q2366" s="43"/>
      <c r="R2366" s="43"/>
      <c r="S2366" s="60"/>
      <c r="T2366" s="60"/>
    </row>
    <row r="2367" spans="1:21" ht="30" customHeight="1" x14ac:dyDescent="0.25">
      <c r="A2367" s="207" t="s">
        <v>288</v>
      </c>
      <c r="B2367" s="208">
        <v>4111</v>
      </c>
      <c r="C2367" s="209" t="s">
        <v>1776</v>
      </c>
      <c r="D2367" s="210"/>
      <c r="E2367" s="36" t="s">
        <v>291</v>
      </c>
      <c r="F2367" s="37" t="s">
        <v>117</v>
      </c>
      <c r="G2367" s="163" t="s">
        <v>290</v>
      </c>
      <c r="H2367" s="179">
        <v>50000</v>
      </c>
      <c r="I2367" s="36" t="s">
        <v>292</v>
      </c>
      <c r="J2367" s="314" t="s">
        <v>437</v>
      </c>
      <c r="K2367" s="1018"/>
      <c r="L2367" s="1019"/>
      <c r="N2367" s="342"/>
      <c r="O2367" s="1217"/>
      <c r="P2367" s="41"/>
      <c r="Q2367" s="41"/>
      <c r="R2367" s="41"/>
      <c r="S2367" s="41"/>
      <c r="T2367" s="41"/>
      <c r="U2367" s="43"/>
    </row>
    <row r="2368" spans="1:21" ht="30" customHeight="1" x14ac:dyDescent="0.25">
      <c r="A2368" s="44" t="s">
        <v>294</v>
      </c>
      <c r="B2368" s="45" t="s">
        <v>295</v>
      </c>
      <c r="C2368" s="45"/>
      <c r="D2368" s="45"/>
      <c r="E2368" s="44" t="s">
        <v>296</v>
      </c>
      <c r="F2368" s="44" t="s">
        <v>2</v>
      </c>
      <c r="G2368" s="44" t="s">
        <v>297</v>
      </c>
      <c r="H2368" s="44" t="s">
        <v>298</v>
      </c>
      <c r="I2368" s="44" t="s">
        <v>299</v>
      </c>
      <c r="J2368" s="48" t="s">
        <v>300</v>
      </c>
      <c r="K2368" s="48" t="s">
        <v>301</v>
      </c>
      <c r="L2368" s="48"/>
      <c r="N2368" s="342"/>
      <c r="O2368" s="12"/>
      <c r="P2368" s="41"/>
      <c r="Q2368" s="41"/>
      <c r="R2368" s="41"/>
      <c r="S2368" s="41"/>
      <c r="T2368" s="41"/>
      <c r="U2368" s="43"/>
    </row>
    <row r="2369" spans="1:21" s="41" customFormat="1" ht="30" customHeight="1" x14ac:dyDescent="0.25">
      <c r="A2369" s="167" t="s">
        <v>453</v>
      </c>
      <c r="B2369" s="258" t="s">
        <v>1777</v>
      </c>
      <c r="C2369" s="259"/>
      <c r="D2369" s="260"/>
      <c r="E2369" s="1225">
        <v>5162</v>
      </c>
      <c r="F2369" s="51" t="s">
        <v>307</v>
      </c>
      <c r="G2369" s="54" t="s">
        <v>3251</v>
      </c>
      <c r="H2369" s="54" t="s">
        <v>3252</v>
      </c>
      <c r="I2369" s="1823" t="s">
        <v>3253</v>
      </c>
      <c r="J2369" s="55">
        <v>97267.05</v>
      </c>
      <c r="K2369" s="54" t="s">
        <v>3254</v>
      </c>
      <c r="L2369" s="51" t="s">
        <v>307</v>
      </c>
      <c r="M2369" s="341"/>
      <c r="N2369" s="1918"/>
      <c r="O2369" s="1217"/>
    </row>
    <row r="2370" spans="1:21" s="49" customFormat="1" ht="30" customHeight="1" x14ac:dyDescent="0.25">
      <c r="A2370" s="167" t="s">
        <v>455</v>
      </c>
      <c r="B2370" s="258" t="s">
        <v>1778</v>
      </c>
      <c r="C2370" s="259"/>
      <c r="D2370" s="260"/>
      <c r="E2370" s="1225">
        <v>151</v>
      </c>
      <c r="F2370" s="51" t="s">
        <v>307</v>
      </c>
      <c r="G2370" s="54" t="s">
        <v>3255</v>
      </c>
      <c r="H2370" s="54" t="s">
        <v>3256</v>
      </c>
      <c r="I2370" s="1823" t="s">
        <v>3257</v>
      </c>
      <c r="J2370" s="55">
        <v>83626.55</v>
      </c>
      <c r="K2370" s="54" t="s">
        <v>3258</v>
      </c>
      <c r="L2370" s="51" t="s">
        <v>307</v>
      </c>
      <c r="M2370" s="502"/>
      <c r="N2370" s="1894"/>
      <c r="O2370" s="27"/>
    </row>
    <row r="2371" spans="1:21" s="41" customFormat="1" ht="30" customHeight="1" x14ac:dyDescent="0.25">
      <c r="A2371" s="167" t="s">
        <v>457</v>
      </c>
      <c r="B2371" s="258" t="s">
        <v>1779</v>
      </c>
      <c r="C2371" s="259"/>
      <c r="D2371" s="260"/>
      <c r="E2371" s="1225">
        <v>1178</v>
      </c>
      <c r="F2371" s="51" t="s">
        <v>7</v>
      </c>
      <c r="G2371" s="54" t="s">
        <v>3259</v>
      </c>
      <c r="H2371" s="54" t="s">
        <v>3260</v>
      </c>
      <c r="I2371" s="1823" t="s">
        <v>304</v>
      </c>
      <c r="J2371" s="55">
        <v>57094.36</v>
      </c>
      <c r="K2371" s="54" t="s">
        <v>3261</v>
      </c>
      <c r="L2371" s="51" t="s">
        <v>7</v>
      </c>
      <c r="M2371" s="1930"/>
      <c r="N2371" s="1931"/>
      <c r="O2371" s="27"/>
      <c r="P2371"/>
      <c r="Q2371"/>
      <c r="R2371"/>
      <c r="S2371"/>
      <c r="T2371"/>
    </row>
    <row r="2372" spans="1:21" s="41" customFormat="1" ht="30" customHeight="1" x14ac:dyDescent="0.25">
      <c r="A2372" s="167" t="s">
        <v>459</v>
      </c>
      <c r="B2372" s="258" t="s">
        <v>1780</v>
      </c>
      <c r="C2372" s="259"/>
      <c r="D2372" s="260"/>
      <c r="E2372" s="1225">
        <v>12756.41</v>
      </c>
      <c r="F2372" s="51" t="s">
        <v>7</v>
      </c>
      <c r="G2372" s="54" t="s">
        <v>3262</v>
      </c>
      <c r="H2372" s="54" t="s">
        <v>3263</v>
      </c>
      <c r="I2372" s="1823" t="s">
        <v>304</v>
      </c>
      <c r="J2372" s="55">
        <v>240453.23</v>
      </c>
      <c r="K2372" s="54" t="s">
        <v>3264</v>
      </c>
      <c r="L2372" s="51" t="s">
        <v>7</v>
      </c>
      <c r="M2372" s="1930"/>
      <c r="N2372" s="1931"/>
      <c r="O2372" s="27"/>
      <c r="P2372"/>
      <c r="Q2372"/>
      <c r="R2372"/>
      <c r="S2372"/>
      <c r="T2372"/>
    </row>
    <row r="2373" spans="1:21" s="41" customFormat="1" ht="30" customHeight="1" x14ac:dyDescent="0.25">
      <c r="A2373" s="167" t="s">
        <v>461</v>
      </c>
      <c r="B2373" s="258" t="s">
        <v>1781</v>
      </c>
      <c r="C2373" s="259"/>
      <c r="D2373" s="260"/>
      <c r="E2373" s="1225">
        <v>63</v>
      </c>
      <c r="F2373" s="51" t="s">
        <v>11</v>
      </c>
      <c r="G2373" s="54" t="s">
        <v>3265</v>
      </c>
      <c r="H2373" s="54" t="s">
        <v>3266</v>
      </c>
      <c r="I2373" s="1823" t="s">
        <v>3267</v>
      </c>
      <c r="J2373" s="55">
        <v>31082.41</v>
      </c>
      <c r="K2373" s="54" t="s">
        <v>3268</v>
      </c>
      <c r="L2373" s="51" t="s">
        <v>11</v>
      </c>
      <c r="M2373" s="1930"/>
      <c r="N2373" s="1931"/>
      <c r="O2373" s="27"/>
      <c r="P2373"/>
      <c r="Q2373"/>
      <c r="R2373"/>
      <c r="S2373"/>
      <c r="T2373"/>
    </row>
    <row r="2374" spans="1:21" ht="30" customHeight="1" x14ac:dyDescent="0.25">
      <c r="A2374" s="167" t="s">
        <v>1782</v>
      </c>
      <c r="B2374" s="258" t="s">
        <v>3269</v>
      </c>
      <c r="C2374" s="259"/>
      <c r="D2374" s="260"/>
      <c r="E2374" s="1225">
        <v>1</v>
      </c>
      <c r="F2374" s="51" t="s">
        <v>11</v>
      </c>
      <c r="G2374" s="54" t="s">
        <v>304</v>
      </c>
      <c r="H2374" s="54" t="s">
        <v>304</v>
      </c>
      <c r="I2374" s="1823" t="s">
        <v>304</v>
      </c>
      <c r="J2374" s="55">
        <v>1056000</v>
      </c>
      <c r="K2374" s="54" t="s">
        <v>3270</v>
      </c>
      <c r="L2374" s="51" t="s">
        <v>11</v>
      </c>
      <c r="M2374" s="1930"/>
      <c r="N2374" s="1931"/>
      <c r="P2374" s="43"/>
      <c r="Q2374" s="43"/>
      <c r="R2374" s="43"/>
      <c r="S2374" s="60"/>
      <c r="T2374" s="60"/>
    </row>
    <row r="2375" spans="1:21" ht="30" customHeight="1" x14ac:dyDescent="0.25">
      <c r="A2375" s="167" t="s">
        <v>465</v>
      </c>
      <c r="B2375" s="258" t="s">
        <v>466</v>
      </c>
      <c r="C2375" s="259"/>
      <c r="D2375" s="260"/>
      <c r="E2375" s="1225">
        <v>951.75</v>
      </c>
      <c r="F2375" s="51" t="s">
        <v>7</v>
      </c>
      <c r="G2375" s="54" t="s">
        <v>3271</v>
      </c>
      <c r="H2375" s="54" t="s">
        <v>3272</v>
      </c>
      <c r="I2375" s="1823" t="s">
        <v>3273</v>
      </c>
      <c r="J2375" s="55">
        <v>361804.43</v>
      </c>
      <c r="K2375" s="54" t="s">
        <v>3274</v>
      </c>
      <c r="L2375" s="51" t="s">
        <v>7</v>
      </c>
      <c r="M2375" s="43"/>
      <c r="P2375" s="43"/>
      <c r="Q2375" s="43"/>
      <c r="R2375" s="43"/>
      <c r="S2375" s="60"/>
      <c r="T2375" s="60"/>
    </row>
    <row r="2376" spans="1:21" ht="30" customHeight="1" x14ac:dyDescent="0.25">
      <c r="A2376" s="167" t="s">
        <v>467</v>
      </c>
      <c r="B2376" s="258" t="s">
        <v>468</v>
      </c>
      <c r="C2376" s="259"/>
      <c r="D2376" s="260"/>
      <c r="E2376" s="1225">
        <v>42460.28</v>
      </c>
      <c r="F2376" s="51" t="s">
        <v>9</v>
      </c>
      <c r="G2376" s="54" t="s">
        <v>3275</v>
      </c>
      <c r="H2376" s="54" t="s">
        <v>3276</v>
      </c>
      <c r="I2376" s="1823" t="s">
        <v>3277</v>
      </c>
      <c r="J2376" s="55">
        <v>468404.82</v>
      </c>
      <c r="K2376" s="54" t="s">
        <v>3278</v>
      </c>
      <c r="L2376" s="51" t="s">
        <v>9</v>
      </c>
      <c r="O2376"/>
    </row>
    <row r="2377" spans="1:21" ht="30" customHeight="1" x14ac:dyDescent="0.25">
      <c r="A2377" s="167" t="s">
        <v>469</v>
      </c>
      <c r="B2377" s="258" t="s">
        <v>470</v>
      </c>
      <c r="C2377" s="259"/>
      <c r="D2377" s="260"/>
      <c r="E2377" s="1225">
        <v>11</v>
      </c>
      <c r="F2377" s="51" t="s">
        <v>362</v>
      </c>
      <c r="G2377" s="54" t="s">
        <v>3279</v>
      </c>
      <c r="H2377" s="54" t="s">
        <v>3280</v>
      </c>
      <c r="I2377" s="1823" t="s">
        <v>3281</v>
      </c>
      <c r="J2377" s="55">
        <v>29945.21</v>
      </c>
      <c r="K2377" s="54" t="s">
        <v>3282</v>
      </c>
      <c r="L2377" s="51" t="s">
        <v>362</v>
      </c>
      <c r="O2377"/>
    </row>
    <row r="2378" spans="1:21" ht="30" customHeight="1" x14ac:dyDescent="0.25">
      <c r="A2378" s="1226"/>
      <c r="B2378" s="1227"/>
      <c r="C2378" s="1227"/>
      <c r="D2378" s="1228"/>
      <c r="E2378" s="63"/>
      <c r="F2378" s="63"/>
      <c r="G2378" s="63"/>
      <c r="I2378" s="1822" t="s">
        <v>434</v>
      </c>
      <c r="J2378" s="1824">
        <f>SUM(J2369:J2377)</f>
        <v>2425678.06</v>
      </c>
      <c r="K2378" s="169">
        <v>3526482.9775059139</v>
      </c>
      <c r="L2378" s="147" t="s">
        <v>335</v>
      </c>
      <c r="M2378" s="654"/>
      <c r="O2378"/>
    </row>
    <row r="2379" spans="1:21" s="49" customFormat="1" ht="30" customHeight="1" thickBot="1" x14ac:dyDescent="0.3">
      <c r="A2379" s="1231"/>
      <c r="B2379" s="1232"/>
      <c r="C2379" s="1232"/>
      <c r="D2379" s="1233"/>
      <c r="E2379" s="268"/>
      <c r="F2379" s="63"/>
      <c r="G2379" s="63"/>
      <c r="H2379" s="63"/>
      <c r="I2379" s="252"/>
      <c r="J2379" s="252" t="s">
        <v>1783</v>
      </c>
      <c r="K2379" s="267">
        <f>+K2378/H2367</f>
        <v>70.529659550118282</v>
      </c>
      <c r="L2379" s="147" t="s">
        <v>117</v>
      </c>
      <c r="M2379" s="502"/>
      <c r="N2379" s="502"/>
    </row>
    <row r="2380" spans="1:21" ht="30" customHeight="1" thickBot="1" x14ac:dyDescent="0.3">
      <c r="A2380" s="76"/>
      <c r="B2380" s="77"/>
      <c r="C2380" s="77"/>
      <c r="D2380" s="77"/>
      <c r="E2380" s="77"/>
      <c r="F2380" s="77"/>
      <c r="G2380" s="77"/>
      <c r="H2380" s="77"/>
      <c r="I2380" s="77"/>
      <c r="J2380" s="77"/>
      <c r="K2380" s="77"/>
      <c r="L2380" s="78"/>
      <c r="O2380"/>
    </row>
    <row r="2381" spans="1:21" ht="30" customHeight="1" x14ac:dyDescent="0.25">
      <c r="A2381" s="207" t="s">
        <v>288</v>
      </c>
      <c r="B2381" s="208">
        <v>4111</v>
      </c>
      <c r="C2381" s="209" t="s">
        <v>1784</v>
      </c>
      <c r="D2381" s="210"/>
      <c r="E2381" s="36" t="s">
        <v>291</v>
      </c>
      <c r="F2381" s="37" t="s">
        <v>117</v>
      </c>
      <c r="G2381" s="163" t="s">
        <v>290</v>
      </c>
      <c r="H2381" s="164">
        <v>80000</v>
      </c>
      <c r="I2381" s="36" t="s">
        <v>292</v>
      </c>
      <c r="J2381" s="314" t="s">
        <v>437</v>
      </c>
      <c r="K2381" s="1018"/>
      <c r="L2381" s="1019"/>
      <c r="O2381"/>
    </row>
    <row r="2382" spans="1:21" ht="30" customHeight="1" thickBot="1" x14ac:dyDescent="0.3">
      <c r="A2382" s="44" t="s">
        <v>294</v>
      </c>
      <c r="B2382" s="45" t="s">
        <v>295</v>
      </c>
      <c r="C2382" s="45"/>
      <c r="D2382" s="45"/>
      <c r="E2382" s="44" t="s">
        <v>296</v>
      </c>
      <c r="F2382" s="44" t="s">
        <v>2</v>
      </c>
      <c r="G2382" s="44" t="s">
        <v>297</v>
      </c>
      <c r="H2382" s="44" t="s">
        <v>298</v>
      </c>
      <c r="I2382" s="44" t="s">
        <v>299</v>
      </c>
      <c r="J2382" s="48" t="s">
        <v>300</v>
      </c>
      <c r="K2382" s="48" t="s">
        <v>301</v>
      </c>
      <c r="L2382" s="48"/>
      <c r="O2382"/>
    </row>
    <row r="2383" spans="1:21" ht="30" customHeight="1" x14ac:dyDescent="0.25">
      <c r="A2383" s="167" t="s">
        <v>453</v>
      </c>
      <c r="B2383" s="274" t="s">
        <v>1777</v>
      </c>
      <c r="C2383" s="275"/>
      <c r="D2383" s="276"/>
      <c r="E2383" s="97">
        <v>7504</v>
      </c>
      <c r="F2383" s="51" t="s">
        <v>307</v>
      </c>
      <c r="G2383" s="1825" t="s">
        <v>3283</v>
      </c>
      <c r="H2383" s="1825" t="s">
        <v>3284</v>
      </c>
      <c r="I2383" s="1825" t="s">
        <v>3285</v>
      </c>
      <c r="J2383" s="1826">
        <v>141397.12</v>
      </c>
      <c r="K2383" s="1827" t="s">
        <v>3286</v>
      </c>
      <c r="L2383" s="51" t="s">
        <v>307</v>
      </c>
      <c r="O2383"/>
    </row>
    <row r="2384" spans="1:21" ht="30" customHeight="1" x14ac:dyDescent="0.25">
      <c r="A2384" s="167" t="s">
        <v>455</v>
      </c>
      <c r="B2384" s="274" t="s">
        <v>1778</v>
      </c>
      <c r="C2384" s="275"/>
      <c r="D2384" s="276"/>
      <c r="E2384" s="97">
        <v>219</v>
      </c>
      <c r="F2384" s="51" t="s">
        <v>307</v>
      </c>
      <c r="G2384" s="54" t="s">
        <v>3287</v>
      </c>
      <c r="H2384" s="54" t="s">
        <v>3288</v>
      </c>
      <c r="I2384" s="54" t="s">
        <v>3289</v>
      </c>
      <c r="J2384" s="126">
        <v>121286.19</v>
      </c>
      <c r="K2384" s="1828" t="s">
        <v>3290</v>
      </c>
      <c r="L2384" s="51" t="s">
        <v>307</v>
      </c>
      <c r="N2384" s="342"/>
      <c r="O2384" s="42"/>
      <c r="P2384" s="41"/>
      <c r="Q2384" s="41"/>
      <c r="R2384" s="41"/>
      <c r="S2384" s="41"/>
      <c r="T2384" s="41"/>
      <c r="U2384" s="43"/>
    </row>
    <row r="2385" spans="1:23" ht="30" customHeight="1" x14ac:dyDescent="0.25">
      <c r="A2385" s="167" t="s">
        <v>457</v>
      </c>
      <c r="B2385" s="274" t="s">
        <v>1779</v>
      </c>
      <c r="C2385" s="275"/>
      <c r="D2385" s="276"/>
      <c r="E2385" s="97">
        <v>1713</v>
      </c>
      <c r="F2385" s="51" t="s">
        <v>7</v>
      </c>
      <c r="G2385" s="54" t="s">
        <v>3291</v>
      </c>
      <c r="H2385" s="54" t="s">
        <v>3292</v>
      </c>
      <c r="I2385" s="54" t="s">
        <v>304</v>
      </c>
      <c r="J2385" s="126">
        <v>83024.31</v>
      </c>
      <c r="K2385" s="1828" t="s">
        <v>3293</v>
      </c>
      <c r="L2385" s="51" t="s">
        <v>7</v>
      </c>
      <c r="U2385" s="43"/>
    </row>
    <row r="2386" spans="1:23" ht="30" customHeight="1" x14ac:dyDescent="0.25">
      <c r="A2386" s="167" t="s">
        <v>459</v>
      </c>
      <c r="B2386" s="274" t="s">
        <v>1780</v>
      </c>
      <c r="C2386" s="275"/>
      <c r="D2386" s="276"/>
      <c r="E2386" s="97">
        <v>18530.03</v>
      </c>
      <c r="F2386" s="51" t="s">
        <v>7</v>
      </c>
      <c r="G2386" s="54" t="s">
        <v>3294</v>
      </c>
      <c r="H2386" s="54" t="s">
        <v>3295</v>
      </c>
      <c r="I2386" s="54" t="s">
        <v>304</v>
      </c>
      <c r="J2386" s="126">
        <v>349283.65</v>
      </c>
      <c r="K2386" s="1828" t="s">
        <v>3296</v>
      </c>
      <c r="L2386" s="51" t="s">
        <v>7</v>
      </c>
      <c r="M2386" s="1330"/>
      <c r="N2386" s="1117"/>
      <c r="P2386" s="43"/>
      <c r="Q2386" s="43"/>
      <c r="R2386" s="43"/>
      <c r="S2386" s="60"/>
      <c r="T2386" s="60"/>
      <c r="U2386" s="43"/>
    </row>
    <row r="2387" spans="1:23" s="49" customFormat="1" ht="30" customHeight="1" x14ac:dyDescent="0.25">
      <c r="A2387" s="167" t="s">
        <v>461</v>
      </c>
      <c r="B2387" s="274" t="s">
        <v>1781</v>
      </c>
      <c r="C2387" s="275"/>
      <c r="D2387" s="276"/>
      <c r="E2387" s="97">
        <v>92</v>
      </c>
      <c r="F2387" s="51" t="s">
        <v>11</v>
      </c>
      <c r="G2387" s="54" t="s">
        <v>3297</v>
      </c>
      <c r="H2387" s="54" t="s">
        <v>3298</v>
      </c>
      <c r="I2387" s="54" t="s">
        <v>3299</v>
      </c>
      <c r="J2387" s="126">
        <v>45390.19</v>
      </c>
      <c r="K2387" s="1828" t="s">
        <v>3300</v>
      </c>
      <c r="L2387" s="51" t="s">
        <v>11</v>
      </c>
      <c r="M2387" s="502"/>
      <c r="N2387" s="502"/>
      <c r="O2387" s="27"/>
      <c r="P2387" s="50"/>
      <c r="Q2387" s="50"/>
      <c r="R2387" s="50"/>
      <c r="S2387" s="212"/>
      <c r="T2387" s="212"/>
      <c r="U2387" s="50"/>
    </row>
    <row r="2388" spans="1:23" ht="30" customHeight="1" x14ac:dyDescent="0.25">
      <c r="A2388" s="167" t="s">
        <v>1785</v>
      </c>
      <c r="B2388" s="274" t="s">
        <v>1786</v>
      </c>
      <c r="C2388" s="275"/>
      <c r="D2388" s="276"/>
      <c r="E2388" s="97">
        <v>1</v>
      </c>
      <c r="F2388" s="51" t="s">
        <v>11</v>
      </c>
      <c r="G2388" s="54" t="s">
        <v>304</v>
      </c>
      <c r="H2388" s="54" t="s">
        <v>304</v>
      </c>
      <c r="I2388" s="54" t="s">
        <v>304</v>
      </c>
      <c r="J2388" s="126">
        <v>1680000</v>
      </c>
      <c r="K2388" s="1828" t="s">
        <v>3301</v>
      </c>
      <c r="L2388" s="51" t="s">
        <v>11</v>
      </c>
      <c r="M2388" s="12"/>
      <c r="N2388" s="671"/>
      <c r="R2388" s="43"/>
      <c r="S2388" s="43"/>
      <c r="T2388" s="43"/>
      <c r="U2388" s="60"/>
      <c r="V2388" s="60"/>
      <c r="W2388" s="43"/>
    </row>
    <row r="2389" spans="1:23" ht="30" customHeight="1" x14ac:dyDescent="0.25">
      <c r="A2389" s="167" t="s">
        <v>465</v>
      </c>
      <c r="B2389" s="274" t="s">
        <v>466</v>
      </c>
      <c r="C2389" s="275"/>
      <c r="D2389" s="276"/>
      <c r="E2389" s="97">
        <v>1147.8499999999999</v>
      </c>
      <c r="F2389" s="51" t="s">
        <v>7</v>
      </c>
      <c r="G2389" s="54" t="s">
        <v>3302</v>
      </c>
      <c r="H2389" s="54" t="s">
        <v>3303</v>
      </c>
      <c r="I2389" s="54" t="s">
        <v>3304</v>
      </c>
      <c r="J2389" s="126">
        <v>436351.16</v>
      </c>
      <c r="K2389" s="1828" t="s">
        <v>3305</v>
      </c>
      <c r="L2389" s="51" t="s">
        <v>7</v>
      </c>
      <c r="P2389" s="43"/>
      <c r="Q2389" s="43"/>
      <c r="R2389" s="43"/>
      <c r="S2389" s="60"/>
      <c r="T2389" s="60"/>
      <c r="U2389" s="43"/>
    </row>
    <row r="2390" spans="1:23" ht="30" customHeight="1" x14ac:dyDescent="0.25">
      <c r="A2390" s="167" t="s">
        <v>467</v>
      </c>
      <c r="B2390" s="274" t="s">
        <v>468</v>
      </c>
      <c r="C2390" s="275"/>
      <c r="D2390" s="276"/>
      <c r="E2390" s="97">
        <v>61760.4</v>
      </c>
      <c r="F2390" s="51" t="s">
        <v>9</v>
      </c>
      <c r="G2390" s="54" t="s">
        <v>3306</v>
      </c>
      <c r="H2390" s="54" t="s">
        <v>3307</v>
      </c>
      <c r="I2390" s="54" t="s">
        <v>3308</v>
      </c>
      <c r="J2390" s="126">
        <v>681316.03</v>
      </c>
      <c r="K2390" s="1828" t="s">
        <v>3309</v>
      </c>
      <c r="L2390" s="51" t="s">
        <v>9</v>
      </c>
      <c r="N2390" s="1888"/>
      <c r="P2390" s="43"/>
      <c r="Q2390" s="43"/>
      <c r="R2390" s="43"/>
      <c r="S2390" s="60"/>
      <c r="T2390" s="60"/>
      <c r="U2390" s="43"/>
    </row>
    <row r="2391" spans="1:23" ht="30" customHeight="1" thickBot="1" x14ac:dyDescent="0.3">
      <c r="A2391" s="167" t="s">
        <v>469</v>
      </c>
      <c r="B2391" s="274" t="s">
        <v>470</v>
      </c>
      <c r="C2391" s="275"/>
      <c r="D2391" s="276"/>
      <c r="E2391" s="97">
        <v>16</v>
      </c>
      <c r="F2391" s="51" t="s">
        <v>362</v>
      </c>
      <c r="G2391" s="1829" t="s">
        <v>3310</v>
      </c>
      <c r="H2391" s="1829" t="s">
        <v>3311</v>
      </c>
      <c r="I2391" s="1829" t="s">
        <v>3312</v>
      </c>
      <c r="J2391" s="1830">
        <v>43556.67</v>
      </c>
      <c r="K2391" s="1831" t="s">
        <v>3313</v>
      </c>
      <c r="L2391" s="51" t="s">
        <v>362</v>
      </c>
      <c r="N2391" s="1888"/>
      <c r="P2391" s="43"/>
      <c r="Q2391" s="43"/>
      <c r="R2391" s="43"/>
      <c r="S2391" s="60"/>
      <c r="T2391" s="60"/>
      <c r="U2391" s="43"/>
    </row>
    <row r="2392" spans="1:23" ht="30" customHeight="1" x14ac:dyDescent="0.25">
      <c r="A2392" s="1226"/>
      <c r="B2392" s="1227"/>
      <c r="C2392" s="1227"/>
      <c r="D2392" s="1228"/>
      <c r="E2392" s="63"/>
      <c r="F2392" s="63"/>
      <c r="G2392" s="63"/>
      <c r="H2392" s="63"/>
      <c r="I2392" s="1822" t="s">
        <v>434</v>
      </c>
      <c r="J2392" s="1832">
        <f>SUM(J2383:J2391)</f>
        <v>3581605.3200000003</v>
      </c>
      <c r="K2392" s="1843">
        <v>5195722.0405042358</v>
      </c>
      <c r="L2392" s="147" t="s">
        <v>335</v>
      </c>
      <c r="N2392" s="1888"/>
      <c r="P2392" s="43"/>
      <c r="Q2392" s="43"/>
      <c r="R2392" s="43"/>
      <c r="S2392" s="60"/>
      <c r="T2392" s="60"/>
      <c r="U2392" s="43"/>
    </row>
    <row r="2393" spans="1:23" ht="30" customHeight="1" thickBot="1" x14ac:dyDescent="0.3">
      <c r="A2393" s="1234"/>
      <c r="B2393" s="1235"/>
      <c r="C2393" s="1235"/>
      <c r="D2393" s="1236"/>
      <c r="E2393" s="268"/>
      <c r="F2393" s="63"/>
      <c r="G2393" s="63"/>
      <c r="H2393" s="63"/>
      <c r="I2393" s="252"/>
      <c r="J2393" s="252" t="s">
        <v>1783</v>
      </c>
      <c r="K2393" s="267">
        <f>+K2392/H2381</f>
        <v>64.946525506302947</v>
      </c>
      <c r="L2393" s="147" t="s">
        <v>117</v>
      </c>
      <c r="N2393" s="1888"/>
      <c r="P2393" s="43"/>
      <c r="Q2393" s="43"/>
      <c r="R2393" s="43"/>
      <c r="S2393" s="60"/>
      <c r="T2393" s="60"/>
      <c r="U2393" s="43"/>
    </row>
    <row r="2394" spans="1:23" ht="30" customHeight="1" thickBot="1" x14ac:dyDescent="0.3">
      <c r="A2394" s="76"/>
      <c r="B2394" s="77"/>
      <c r="C2394" s="77"/>
      <c r="D2394" s="77"/>
      <c r="E2394" s="77"/>
      <c r="F2394" s="77"/>
      <c r="G2394" s="77"/>
      <c r="H2394" s="77"/>
      <c r="I2394" s="77"/>
      <c r="J2394" s="77"/>
      <c r="K2394" s="77"/>
      <c r="L2394" s="78"/>
      <c r="N2394" s="1888"/>
      <c r="P2394" s="43"/>
      <c r="Q2394" s="43"/>
      <c r="R2394" s="43"/>
      <c r="S2394" s="60"/>
      <c r="T2394" s="60"/>
      <c r="U2394" s="43"/>
    </row>
    <row r="2395" spans="1:23" ht="30" customHeight="1" x14ac:dyDescent="0.25">
      <c r="A2395" s="207" t="s">
        <v>288</v>
      </c>
      <c r="B2395" s="208">
        <v>4111</v>
      </c>
      <c r="C2395" s="209" t="s">
        <v>1787</v>
      </c>
      <c r="D2395" s="210"/>
      <c r="E2395" s="36" t="s">
        <v>291</v>
      </c>
      <c r="F2395" s="37" t="s">
        <v>117</v>
      </c>
      <c r="G2395" s="163" t="s">
        <v>290</v>
      </c>
      <c r="H2395" s="164">
        <v>150000</v>
      </c>
      <c r="I2395" s="36" t="s">
        <v>292</v>
      </c>
      <c r="J2395" s="314" t="s">
        <v>437</v>
      </c>
      <c r="K2395" s="1018"/>
      <c r="L2395" s="1019"/>
      <c r="M2395" s="1888"/>
      <c r="P2395" s="43"/>
      <c r="Q2395" s="43"/>
      <c r="R2395" s="43"/>
      <c r="S2395" s="60"/>
      <c r="T2395" s="60"/>
      <c r="U2395" s="43"/>
    </row>
    <row r="2396" spans="1:23" ht="30" customHeight="1" x14ac:dyDescent="0.25">
      <c r="A2396" s="44" t="s">
        <v>294</v>
      </c>
      <c r="B2396" s="45" t="s">
        <v>295</v>
      </c>
      <c r="C2396" s="45"/>
      <c r="D2396" s="45"/>
      <c r="E2396" s="44" t="s">
        <v>296</v>
      </c>
      <c r="F2396" s="44" t="s">
        <v>2</v>
      </c>
      <c r="G2396" s="46" t="s">
        <v>297</v>
      </c>
      <c r="H2396" s="46" t="s">
        <v>298</v>
      </c>
      <c r="I2396" s="46" t="s">
        <v>299</v>
      </c>
      <c r="J2396" s="47" t="s">
        <v>300</v>
      </c>
      <c r="K2396" s="47" t="s">
        <v>301</v>
      </c>
      <c r="L2396" s="48"/>
      <c r="P2396" s="43"/>
      <c r="Q2396" s="43"/>
      <c r="R2396" s="43"/>
      <c r="S2396" s="60"/>
      <c r="T2396" s="60"/>
      <c r="U2396" s="43"/>
    </row>
    <row r="2397" spans="1:23" ht="30" customHeight="1" x14ac:dyDescent="0.25">
      <c r="A2397" s="167" t="s">
        <v>453</v>
      </c>
      <c r="B2397" s="258" t="s">
        <v>1777</v>
      </c>
      <c r="C2397" s="259"/>
      <c r="D2397" s="260"/>
      <c r="E2397" s="97">
        <v>12252</v>
      </c>
      <c r="F2397" s="51" t="s">
        <v>307</v>
      </c>
      <c r="G2397" s="54" t="s">
        <v>3314</v>
      </c>
      <c r="H2397" s="54" t="s">
        <v>3315</v>
      </c>
      <c r="I2397" s="54" t="s">
        <v>3316</v>
      </c>
      <c r="J2397" s="126">
        <v>230863.21</v>
      </c>
      <c r="K2397" s="54" t="s">
        <v>3317</v>
      </c>
      <c r="L2397" s="56" t="s">
        <v>307</v>
      </c>
      <c r="P2397" s="43"/>
      <c r="Q2397" s="43"/>
      <c r="R2397" s="43"/>
      <c r="S2397" s="60"/>
      <c r="T2397" s="60"/>
      <c r="U2397" s="43"/>
    </row>
    <row r="2398" spans="1:23" ht="30" customHeight="1" x14ac:dyDescent="0.25">
      <c r="A2398" s="167" t="s">
        <v>455</v>
      </c>
      <c r="B2398" s="258" t="s">
        <v>1778</v>
      </c>
      <c r="C2398" s="259"/>
      <c r="D2398" s="260"/>
      <c r="E2398" s="97">
        <v>358</v>
      </c>
      <c r="F2398" s="51" t="s">
        <v>307</v>
      </c>
      <c r="G2398" s="54" t="s">
        <v>3318</v>
      </c>
      <c r="H2398" s="54" t="s">
        <v>3319</v>
      </c>
      <c r="I2398" s="54" t="s">
        <v>3320</v>
      </c>
      <c r="J2398" s="126">
        <v>198266.92</v>
      </c>
      <c r="K2398" s="54" t="s">
        <v>3321</v>
      </c>
      <c r="L2398" s="56" t="s">
        <v>307</v>
      </c>
      <c r="P2398" s="43"/>
      <c r="Q2398" s="43"/>
      <c r="R2398" s="43"/>
      <c r="S2398" s="60"/>
      <c r="T2398" s="60"/>
      <c r="U2398" s="43"/>
    </row>
    <row r="2399" spans="1:23" ht="30" customHeight="1" x14ac:dyDescent="0.25">
      <c r="A2399" s="167" t="s">
        <v>457</v>
      </c>
      <c r="B2399" s="258" t="s">
        <v>1779</v>
      </c>
      <c r="C2399" s="259"/>
      <c r="D2399" s="260"/>
      <c r="E2399" s="97">
        <v>2797</v>
      </c>
      <c r="F2399" s="51" t="s">
        <v>7</v>
      </c>
      <c r="G2399" s="54" t="s">
        <v>3322</v>
      </c>
      <c r="H2399" s="54" t="s">
        <v>3323</v>
      </c>
      <c r="I2399" s="54" t="s">
        <v>304</v>
      </c>
      <c r="J2399" s="126">
        <v>135562.76</v>
      </c>
      <c r="K2399" s="54" t="s">
        <v>3324</v>
      </c>
      <c r="L2399" s="56" t="s">
        <v>7</v>
      </c>
      <c r="P2399" s="43"/>
      <c r="Q2399" s="43"/>
      <c r="R2399" s="43"/>
      <c r="S2399" s="60"/>
      <c r="T2399" s="60"/>
      <c r="U2399" s="43"/>
    </row>
    <row r="2400" spans="1:23" ht="30" customHeight="1" x14ac:dyDescent="0.25">
      <c r="A2400" s="167" t="s">
        <v>459</v>
      </c>
      <c r="B2400" s="258" t="s">
        <v>1780</v>
      </c>
      <c r="C2400" s="259"/>
      <c r="D2400" s="260"/>
      <c r="E2400" s="97">
        <v>34696.18</v>
      </c>
      <c r="F2400" s="51" t="s">
        <v>7</v>
      </c>
      <c r="G2400" s="54" t="s">
        <v>3325</v>
      </c>
      <c r="H2400" s="54" t="s">
        <v>3326</v>
      </c>
      <c r="I2400" s="54" t="s">
        <v>304</v>
      </c>
      <c r="J2400" s="126">
        <v>654009.11</v>
      </c>
      <c r="K2400" s="54" t="s">
        <v>3327</v>
      </c>
      <c r="L2400" s="56" t="s">
        <v>7</v>
      </c>
      <c r="P2400" s="43"/>
      <c r="Q2400" s="43"/>
      <c r="R2400" s="43"/>
      <c r="S2400" s="60"/>
      <c r="T2400" s="60"/>
      <c r="U2400" s="43"/>
    </row>
    <row r="2401" spans="1:23" s="49" customFormat="1" ht="30" customHeight="1" x14ac:dyDescent="0.25">
      <c r="A2401" s="167" t="s">
        <v>461</v>
      </c>
      <c r="B2401" s="258" t="s">
        <v>1781</v>
      </c>
      <c r="C2401" s="259"/>
      <c r="D2401" s="260"/>
      <c r="E2401" s="97">
        <v>151</v>
      </c>
      <c r="F2401" s="51" t="s">
        <v>11</v>
      </c>
      <c r="G2401" s="54" t="s">
        <v>3328</v>
      </c>
      <c r="H2401" s="54" t="s">
        <v>3329</v>
      </c>
      <c r="I2401" s="54" t="s">
        <v>3330</v>
      </c>
      <c r="J2401" s="126">
        <v>74499.11</v>
      </c>
      <c r="K2401" s="54" t="s">
        <v>3331</v>
      </c>
      <c r="L2401" s="56" t="s">
        <v>11</v>
      </c>
      <c r="M2401" s="502"/>
      <c r="N2401" s="502"/>
      <c r="O2401" s="27"/>
      <c r="P2401" s="50"/>
      <c r="Q2401" s="50"/>
      <c r="R2401" s="50"/>
      <c r="S2401" s="212"/>
      <c r="T2401" s="212"/>
      <c r="U2401" s="50"/>
    </row>
    <row r="2402" spans="1:23" ht="30" customHeight="1" x14ac:dyDescent="0.25">
      <c r="A2402" s="167" t="s">
        <v>1788</v>
      </c>
      <c r="B2402" s="258" t="s">
        <v>1789</v>
      </c>
      <c r="C2402" s="259"/>
      <c r="D2402" s="260"/>
      <c r="E2402" s="97">
        <v>1</v>
      </c>
      <c r="F2402" s="51" t="s">
        <v>11</v>
      </c>
      <c r="G2402" s="54" t="s">
        <v>304</v>
      </c>
      <c r="H2402" s="54" t="s">
        <v>304</v>
      </c>
      <c r="I2402" s="54" t="s">
        <v>304</v>
      </c>
      <c r="J2402" s="126">
        <v>2232000</v>
      </c>
      <c r="K2402" s="54" t="s">
        <v>3332</v>
      </c>
      <c r="L2402" s="56" t="s">
        <v>11</v>
      </c>
      <c r="M2402" s="12"/>
      <c r="N2402" s="671"/>
      <c r="R2402" s="43"/>
      <c r="S2402" s="43"/>
      <c r="T2402" s="43"/>
      <c r="U2402" s="60"/>
      <c r="V2402" s="60"/>
      <c r="W2402" s="43"/>
    </row>
    <row r="2403" spans="1:23" ht="30" customHeight="1" x14ac:dyDescent="0.25">
      <c r="A2403" s="167" t="s">
        <v>465</v>
      </c>
      <c r="B2403" s="258" t="s">
        <v>466</v>
      </c>
      <c r="C2403" s="259"/>
      <c r="D2403" s="260"/>
      <c r="E2403" s="97">
        <v>1571.76</v>
      </c>
      <c r="F2403" s="51" t="s">
        <v>7</v>
      </c>
      <c r="G2403" s="54" t="s">
        <v>3333</v>
      </c>
      <c r="H2403" s="54" t="s">
        <v>3334</v>
      </c>
      <c r="I2403" s="54" t="s">
        <v>3335</v>
      </c>
      <c r="J2403" s="126">
        <v>597499.06000000006</v>
      </c>
      <c r="K2403" s="54" t="s">
        <v>3336</v>
      </c>
      <c r="L2403" s="56" t="s">
        <v>7</v>
      </c>
      <c r="P2403" s="43"/>
      <c r="Q2403" s="43"/>
      <c r="R2403" s="43"/>
      <c r="S2403" s="60"/>
      <c r="T2403" s="60"/>
      <c r="U2403" s="43"/>
    </row>
    <row r="2404" spans="1:23" ht="30" customHeight="1" x14ac:dyDescent="0.25">
      <c r="A2404" s="167" t="s">
        <v>467</v>
      </c>
      <c r="B2404" s="258" t="s">
        <v>468</v>
      </c>
      <c r="C2404" s="259"/>
      <c r="D2404" s="260"/>
      <c r="E2404" s="97">
        <v>115800.75</v>
      </c>
      <c r="F2404" s="51" t="s">
        <v>9</v>
      </c>
      <c r="G2404" s="54" t="s">
        <v>3337</v>
      </c>
      <c r="H2404" s="54" t="s">
        <v>3338</v>
      </c>
      <c r="I2404" s="54" t="s">
        <v>3339</v>
      </c>
      <c r="J2404" s="126">
        <v>1277467.55</v>
      </c>
      <c r="K2404" s="54" t="s">
        <v>3340</v>
      </c>
      <c r="L2404" s="56" t="s">
        <v>9</v>
      </c>
      <c r="N2404" s="1888"/>
      <c r="P2404" s="43"/>
      <c r="Q2404" s="43"/>
      <c r="R2404" s="43"/>
      <c r="S2404" s="60"/>
      <c r="T2404" s="60"/>
      <c r="U2404" s="43"/>
    </row>
    <row r="2405" spans="1:23" ht="30" customHeight="1" x14ac:dyDescent="0.25">
      <c r="A2405" s="167" t="s">
        <v>469</v>
      </c>
      <c r="B2405" s="258" t="s">
        <v>470</v>
      </c>
      <c r="C2405" s="259"/>
      <c r="D2405" s="260"/>
      <c r="E2405" s="97">
        <v>30</v>
      </c>
      <c r="F2405" s="51" t="s">
        <v>362</v>
      </c>
      <c r="G2405" s="54" t="s">
        <v>3341</v>
      </c>
      <c r="H2405" s="54" t="s">
        <v>3342</v>
      </c>
      <c r="I2405" s="54" t="s">
        <v>3343</v>
      </c>
      <c r="J2405" s="126">
        <v>81668.75</v>
      </c>
      <c r="K2405" s="54" t="s">
        <v>3344</v>
      </c>
      <c r="L2405" s="56" t="s">
        <v>362</v>
      </c>
      <c r="N2405" s="1888"/>
      <c r="P2405" s="43"/>
      <c r="Q2405" s="43"/>
      <c r="R2405" s="43"/>
      <c r="S2405" s="60"/>
      <c r="T2405" s="60"/>
      <c r="U2405" s="43"/>
    </row>
    <row r="2406" spans="1:23" ht="30" customHeight="1" x14ac:dyDescent="0.25">
      <c r="A2406" s="1226" t="s">
        <v>3345</v>
      </c>
      <c r="B2406" s="1227"/>
      <c r="C2406" s="1227"/>
      <c r="D2406" s="1228"/>
      <c r="E2406" s="63"/>
      <c r="F2406" s="63"/>
      <c r="G2406" s="89"/>
      <c r="H2406" s="89"/>
      <c r="I2406" s="136" t="s">
        <v>434</v>
      </c>
      <c r="J2406" s="134">
        <f>SUM(J2397:J2405)</f>
        <v>5481836.4700000007</v>
      </c>
      <c r="K2406" s="169">
        <v>8090620.6230320511</v>
      </c>
      <c r="L2406" s="67" t="s">
        <v>335</v>
      </c>
      <c r="N2406" s="1888"/>
      <c r="P2406" s="43"/>
      <c r="Q2406" s="43"/>
      <c r="R2406" s="43"/>
      <c r="S2406" s="60"/>
      <c r="T2406" s="60"/>
      <c r="U2406" s="43"/>
    </row>
    <row r="2407" spans="1:23" ht="30" customHeight="1" x14ac:dyDescent="0.25">
      <c r="A2407" s="1237"/>
      <c r="B2407" s="1238"/>
      <c r="C2407" s="1238"/>
      <c r="D2407" s="1239"/>
      <c r="E2407" s="149"/>
      <c r="F2407" s="63"/>
      <c r="G2407" s="63"/>
      <c r="H2407" s="63"/>
      <c r="I2407" s="136"/>
      <c r="J2407" s="136" t="s">
        <v>1783</v>
      </c>
      <c r="K2407" s="267">
        <f>+K2406/H2395</f>
        <v>53.937470820213676</v>
      </c>
      <c r="L2407" s="67" t="s">
        <v>117</v>
      </c>
      <c r="N2407" s="1888"/>
      <c r="P2407" s="43"/>
      <c r="Q2407" s="43"/>
      <c r="R2407" s="43"/>
      <c r="S2407" s="60"/>
      <c r="T2407" s="60"/>
      <c r="U2407" s="43"/>
    </row>
    <row r="2408" spans="1:23" ht="30" customHeight="1" x14ac:dyDescent="0.25">
      <c r="A2408" s="1237"/>
      <c r="B2408" s="1238"/>
      <c r="C2408" s="1238"/>
      <c r="D2408" s="1239"/>
      <c r="E2408" s="149"/>
      <c r="F2408" s="244" t="s">
        <v>1790</v>
      </c>
      <c r="G2408" s="245"/>
      <c r="H2408" s="1833">
        <v>0.67399267399267404</v>
      </c>
      <c r="I2408" s="1229" t="s">
        <v>3346</v>
      </c>
      <c r="J2408" s="1230"/>
      <c r="K2408" s="267">
        <f>+K2379</f>
        <v>70.529659550118282</v>
      </c>
      <c r="L2408" s="147" t="s">
        <v>117</v>
      </c>
      <c r="N2408" s="1888"/>
      <c r="P2408" s="43"/>
      <c r="Q2408" s="43"/>
      <c r="R2408" s="43"/>
      <c r="S2408" s="60"/>
      <c r="T2408" s="60"/>
      <c r="U2408" s="43"/>
    </row>
    <row r="2409" spans="1:23" ht="30" customHeight="1" x14ac:dyDescent="0.25">
      <c r="A2409" s="1237"/>
      <c r="B2409" s="1238"/>
      <c r="C2409" s="1238"/>
      <c r="D2409" s="1239"/>
      <c r="E2409" s="149"/>
      <c r="F2409" s="1834"/>
      <c r="G2409" s="1835"/>
      <c r="H2409" s="1833">
        <v>0.19780219780219779</v>
      </c>
      <c r="I2409" s="1229" t="s">
        <v>1791</v>
      </c>
      <c r="J2409" s="1230"/>
      <c r="K2409" s="267">
        <f>+K2393</f>
        <v>64.946525506302947</v>
      </c>
      <c r="L2409" s="147" t="s">
        <v>117</v>
      </c>
      <c r="M2409" s="1888"/>
      <c r="P2409" s="43"/>
      <c r="Q2409" s="43"/>
      <c r="R2409" s="43"/>
      <c r="S2409" s="60"/>
      <c r="T2409" s="60"/>
      <c r="U2409" s="43"/>
    </row>
    <row r="2410" spans="1:23" ht="30" customHeight="1" x14ac:dyDescent="0.25">
      <c r="A2410" s="1237"/>
      <c r="B2410" s="1238"/>
      <c r="C2410" s="1238"/>
      <c r="D2410" s="1239"/>
      <c r="E2410" s="149"/>
      <c r="F2410" s="248"/>
      <c r="G2410" s="249"/>
      <c r="H2410" s="1833">
        <v>0.12820512820512819</v>
      </c>
      <c r="I2410" s="1229" t="s">
        <v>3347</v>
      </c>
      <c r="J2410" s="1230"/>
      <c r="K2410" s="267">
        <f>+K2407</f>
        <v>53.937470820213676</v>
      </c>
      <c r="L2410" s="147" t="s">
        <v>117</v>
      </c>
      <c r="P2410" s="43"/>
      <c r="Q2410" s="43"/>
      <c r="R2410" s="43"/>
      <c r="S2410" s="60"/>
      <c r="T2410" s="60"/>
      <c r="U2410" s="43"/>
    </row>
    <row r="2411" spans="1:23" ht="30" customHeight="1" thickBot="1" x14ac:dyDescent="0.3">
      <c r="A2411" s="1234"/>
      <c r="B2411" s="1235"/>
      <c r="C2411" s="1235"/>
      <c r="D2411" s="1236"/>
      <c r="E2411" s="268"/>
      <c r="F2411" s="63"/>
      <c r="G2411" s="63"/>
      <c r="H2411" s="63"/>
      <c r="I2411" s="1841" t="s">
        <v>352</v>
      </c>
      <c r="J2411" s="1842"/>
      <c r="K2411" s="610">
        <f>+K2408*H2408+K2409*H2409+K2410*H2410</f>
        <v>67.29809968230623</v>
      </c>
      <c r="L2411" s="147" t="s">
        <v>117</v>
      </c>
      <c r="P2411" s="43"/>
      <c r="Q2411" s="43"/>
      <c r="R2411" s="43"/>
      <c r="S2411" s="60"/>
      <c r="T2411" s="60"/>
      <c r="U2411" s="43"/>
    </row>
    <row r="2412" spans="1:23" ht="30" customHeight="1" thickBot="1" x14ac:dyDescent="0.3">
      <c r="A2412" s="76"/>
      <c r="B2412" s="77"/>
      <c r="C2412" s="77"/>
      <c r="D2412" s="77"/>
      <c r="E2412" s="77"/>
      <c r="F2412" s="77"/>
      <c r="G2412" s="77"/>
      <c r="H2412" s="77"/>
      <c r="I2412" s="77"/>
      <c r="J2412" s="77"/>
      <c r="K2412" s="77"/>
      <c r="L2412" s="78"/>
      <c r="P2412" s="43"/>
      <c r="Q2412" s="43"/>
      <c r="R2412" s="43"/>
      <c r="S2412" s="60"/>
      <c r="T2412" s="60"/>
      <c r="U2412" s="43"/>
    </row>
    <row r="2413" spans="1:23" ht="30" customHeight="1" x14ac:dyDescent="0.25">
      <c r="A2413" s="207" t="s">
        <v>288</v>
      </c>
      <c r="B2413" s="208">
        <v>4113</v>
      </c>
      <c r="C2413" s="209" t="s">
        <v>1792</v>
      </c>
      <c r="D2413" s="210"/>
      <c r="E2413" s="36" t="s">
        <v>291</v>
      </c>
      <c r="F2413" s="37" t="s">
        <v>117</v>
      </c>
      <c r="G2413" s="163" t="s">
        <v>290</v>
      </c>
      <c r="H2413" s="164">
        <v>50000</v>
      </c>
      <c r="I2413" s="36" t="s">
        <v>292</v>
      </c>
      <c r="J2413" s="314" t="s">
        <v>437</v>
      </c>
      <c r="K2413" s="1018"/>
      <c r="L2413" s="1019"/>
      <c r="P2413" s="43"/>
      <c r="Q2413" s="43"/>
      <c r="R2413" s="43"/>
      <c r="S2413" s="60"/>
      <c r="T2413" s="60"/>
      <c r="U2413" s="43"/>
    </row>
    <row r="2414" spans="1:23" ht="30" customHeight="1" x14ac:dyDescent="0.25">
      <c r="A2414" s="44" t="s">
        <v>294</v>
      </c>
      <c r="B2414" s="45" t="s">
        <v>295</v>
      </c>
      <c r="C2414" s="45"/>
      <c r="D2414" s="45"/>
      <c r="E2414" s="44" t="s">
        <v>296</v>
      </c>
      <c r="F2414" s="44" t="s">
        <v>2</v>
      </c>
      <c r="G2414" s="44" t="s">
        <v>297</v>
      </c>
      <c r="H2414" s="44" t="s">
        <v>298</v>
      </c>
      <c r="I2414" s="44" t="s">
        <v>299</v>
      </c>
      <c r="J2414" s="48" t="s">
        <v>300</v>
      </c>
      <c r="K2414" s="48" t="s">
        <v>301</v>
      </c>
      <c r="L2414" s="48"/>
      <c r="P2414" s="43"/>
      <c r="Q2414" s="43"/>
      <c r="R2414" s="43"/>
      <c r="S2414" s="60"/>
      <c r="T2414" s="60"/>
      <c r="U2414" s="43"/>
    </row>
    <row r="2415" spans="1:23" s="49" customFormat="1" ht="30" customHeight="1" x14ac:dyDescent="0.25">
      <c r="A2415" s="167" t="s">
        <v>1793</v>
      </c>
      <c r="B2415" s="167" t="s">
        <v>1794</v>
      </c>
      <c r="C2415" s="257"/>
      <c r="D2415" s="257"/>
      <c r="E2415" s="97">
        <v>7796.07</v>
      </c>
      <c r="F2415" s="51" t="s">
        <v>307</v>
      </c>
      <c r="G2415" s="54" t="s">
        <v>3348</v>
      </c>
      <c r="H2415" s="54" t="s">
        <v>3349</v>
      </c>
      <c r="I2415" s="54" t="s">
        <v>3350</v>
      </c>
      <c r="J2415" s="55">
        <v>13068418.83</v>
      </c>
      <c r="K2415" s="54" t="s">
        <v>3351</v>
      </c>
      <c r="L2415" s="51" t="s">
        <v>307</v>
      </c>
      <c r="M2415" s="502"/>
      <c r="N2415" s="502"/>
      <c r="O2415" s="27"/>
      <c r="P2415" s="50"/>
      <c r="Q2415" s="50"/>
      <c r="R2415" s="50"/>
      <c r="S2415" s="212"/>
      <c r="T2415" s="212"/>
      <c r="U2415" s="50"/>
    </row>
    <row r="2416" spans="1:23" ht="30" customHeight="1" x14ac:dyDescent="0.25">
      <c r="A2416" s="167" t="s">
        <v>1795</v>
      </c>
      <c r="B2416" s="167" t="s">
        <v>1796</v>
      </c>
      <c r="C2416" s="257"/>
      <c r="D2416" s="257"/>
      <c r="E2416" s="97">
        <v>150</v>
      </c>
      <c r="F2416" s="51" t="s">
        <v>307</v>
      </c>
      <c r="G2416" s="54" t="s">
        <v>3352</v>
      </c>
      <c r="H2416" s="54" t="s">
        <v>3353</v>
      </c>
      <c r="I2416" s="54" t="s">
        <v>3354</v>
      </c>
      <c r="J2416" s="55">
        <v>68111.399999999994</v>
      </c>
      <c r="K2416" s="54" t="s">
        <v>3355</v>
      </c>
      <c r="L2416" s="51" t="s">
        <v>307</v>
      </c>
      <c r="M2416" s="12"/>
      <c r="N2416" s="671"/>
      <c r="R2416" s="43"/>
      <c r="S2416" s="43"/>
      <c r="T2416" s="43"/>
      <c r="U2416" s="60"/>
      <c r="V2416" s="60"/>
      <c r="W2416" s="43"/>
    </row>
    <row r="2417" spans="1:21" ht="30" customHeight="1" x14ac:dyDescent="0.25">
      <c r="A2417" s="167" t="s">
        <v>1797</v>
      </c>
      <c r="B2417" s="167" t="s">
        <v>1798</v>
      </c>
      <c r="C2417" s="257"/>
      <c r="D2417" s="257"/>
      <c r="E2417" s="97">
        <v>1100</v>
      </c>
      <c r="F2417" s="51" t="s">
        <v>7</v>
      </c>
      <c r="G2417" s="54" t="s">
        <v>3356</v>
      </c>
      <c r="H2417" s="54" t="s">
        <v>3357</v>
      </c>
      <c r="I2417" s="54" t="s">
        <v>3358</v>
      </c>
      <c r="J2417" s="55">
        <v>3551533.81</v>
      </c>
      <c r="K2417" s="54" t="s">
        <v>3359</v>
      </c>
      <c r="L2417" s="51" t="s">
        <v>7</v>
      </c>
      <c r="P2417" s="43"/>
      <c r="Q2417" s="43"/>
      <c r="R2417" s="43"/>
      <c r="S2417" s="60"/>
      <c r="T2417" s="60"/>
      <c r="U2417" s="43"/>
    </row>
    <row r="2418" spans="1:21" ht="30" customHeight="1" x14ac:dyDescent="0.25">
      <c r="A2418" s="167" t="s">
        <v>1799</v>
      </c>
      <c r="B2418" s="167" t="s">
        <v>1800</v>
      </c>
      <c r="C2418" s="257"/>
      <c r="D2418" s="257"/>
      <c r="E2418" s="97">
        <v>12018.58</v>
      </c>
      <c r="F2418" s="51" t="s">
        <v>7</v>
      </c>
      <c r="G2418" s="54" t="s">
        <v>3360</v>
      </c>
      <c r="H2418" s="54" t="s">
        <v>3361</v>
      </c>
      <c r="I2418" s="54" t="s">
        <v>304</v>
      </c>
      <c r="J2418" s="55">
        <v>174376.38</v>
      </c>
      <c r="K2418" s="54" t="s">
        <v>3362</v>
      </c>
      <c r="L2418" s="51" t="s">
        <v>7</v>
      </c>
      <c r="N2418" s="1888"/>
      <c r="P2418" s="43"/>
      <c r="Q2418" s="43"/>
      <c r="R2418" s="43"/>
      <c r="S2418" s="60"/>
      <c r="T2418" s="60"/>
      <c r="U2418" s="43"/>
    </row>
    <row r="2419" spans="1:21" ht="30" customHeight="1" x14ac:dyDescent="0.25">
      <c r="A2419" s="167" t="s">
        <v>1801</v>
      </c>
      <c r="B2419" s="167" t="s">
        <v>1802</v>
      </c>
      <c r="C2419" s="257"/>
      <c r="D2419" s="257"/>
      <c r="E2419" s="97">
        <v>60</v>
      </c>
      <c r="F2419" s="51" t="s">
        <v>11</v>
      </c>
      <c r="G2419" s="54" t="s">
        <v>3363</v>
      </c>
      <c r="H2419" s="54" t="s">
        <v>3364</v>
      </c>
      <c r="I2419" s="54" t="s">
        <v>3365</v>
      </c>
      <c r="J2419" s="55">
        <v>29774.58</v>
      </c>
      <c r="K2419" s="54" t="s">
        <v>3366</v>
      </c>
      <c r="L2419" s="51" t="s">
        <v>11</v>
      </c>
      <c r="N2419" s="1888"/>
      <c r="P2419" s="43"/>
      <c r="Q2419" s="43"/>
      <c r="R2419" s="43"/>
      <c r="S2419" s="60"/>
      <c r="T2419" s="60"/>
      <c r="U2419" s="43"/>
    </row>
    <row r="2420" spans="1:21" ht="30" customHeight="1" x14ac:dyDescent="0.25">
      <c r="A2420" s="167" t="s">
        <v>1803</v>
      </c>
      <c r="B2420" s="167" t="s">
        <v>1804</v>
      </c>
      <c r="C2420" s="257"/>
      <c r="D2420" s="257"/>
      <c r="E2420" s="97">
        <v>1</v>
      </c>
      <c r="F2420" s="51" t="s">
        <v>11</v>
      </c>
      <c r="G2420" s="54" t="s">
        <v>3367</v>
      </c>
      <c r="H2420" s="54" t="s">
        <v>3368</v>
      </c>
      <c r="I2420" s="54" t="s">
        <v>3369</v>
      </c>
      <c r="J2420" s="55">
        <v>7016.95</v>
      </c>
      <c r="K2420" s="54" t="s">
        <v>3370</v>
      </c>
      <c r="L2420" s="51" t="s">
        <v>11</v>
      </c>
      <c r="N2420" s="1888"/>
      <c r="P2420" s="43"/>
      <c r="Q2420" s="43"/>
      <c r="R2420" s="43"/>
      <c r="S2420" s="60"/>
      <c r="T2420" s="60"/>
      <c r="U2420" s="43"/>
    </row>
    <row r="2421" spans="1:21" ht="30" customHeight="1" x14ac:dyDescent="0.25">
      <c r="A2421" s="167" t="s">
        <v>469</v>
      </c>
      <c r="B2421" s="258" t="s">
        <v>470</v>
      </c>
      <c r="C2421" s="259"/>
      <c r="D2421" s="260"/>
      <c r="E2421" s="97">
        <v>1.5</v>
      </c>
      <c r="F2421" s="51" t="s">
        <v>362</v>
      </c>
      <c r="G2421" s="54" t="s">
        <v>3371</v>
      </c>
      <c r="H2421" s="54" t="s">
        <v>3372</v>
      </c>
      <c r="I2421" s="54" t="s">
        <v>3373</v>
      </c>
      <c r="J2421" s="55">
        <v>4083.44</v>
      </c>
      <c r="K2421" s="54" t="s">
        <v>3374</v>
      </c>
      <c r="L2421" s="51" t="s">
        <v>362</v>
      </c>
      <c r="N2421" s="1888"/>
      <c r="P2421" s="43"/>
      <c r="Q2421" s="43"/>
      <c r="R2421" s="43"/>
      <c r="S2421" s="60"/>
      <c r="T2421" s="60"/>
      <c r="U2421" s="43"/>
    </row>
    <row r="2422" spans="1:21" ht="30" customHeight="1" x14ac:dyDescent="0.25">
      <c r="A2422" s="1226" t="s">
        <v>3375</v>
      </c>
      <c r="B2422" s="1227"/>
      <c r="C2422" s="1227"/>
      <c r="D2422" s="1228"/>
      <c r="E2422" s="63"/>
      <c r="F2422" s="63"/>
      <c r="G2422" s="63"/>
      <c r="H2422" s="63"/>
      <c r="I2422" s="252" t="s">
        <v>434</v>
      </c>
      <c r="J2422" s="1824">
        <f>SUM(J2415:J2421)</f>
        <v>16903315.390000001</v>
      </c>
      <c r="K2422" s="169">
        <v>30460191.56606926</v>
      </c>
      <c r="L2422" s="147" t="s">
        <v>335</v>
      </c>
      <c r="N2422" s="1888"/>
      <c r="P2422" s="43"/>
      <c r="Q2422" s="43"/>
      <c r="R2422" s="43"/>
      <c r="S2422" s="60"/>
      <c r="T2422" s="60"/>
      <c r="U2422" s="43"/>
    </row>
    <row r="2423" spans="1:21" ht="30" customHeight="1" x14ac:dyDescent="0.25">
      <c r="A2423" s="1237"/>
      <c r="B2423" s="1238"/>
      <c r="C2423" s="1238"/>
      <c r="D2423" s="1239"/>
      <c r="E2423" s="63"/>
      <c r="F2423" s="63"/>
      <c r="G2423" s="63"/>
      <c r="H2423" s="63"/>
      <c r="I2423" s="136"/>
      <c r="J2423" s="252" t="s">
        <v>1783</v>
      </c>
      <c r="K2423" s="267">
        <f>+K2422/H2413</f>
        <v>609.20383132138522</v>
      </c>
      <c r="L2423" s="147" t="s">
        <v>117</v>
      </c>
      <c r="M2423" s="1888"/>
      <c r="P2423" s="43"/>
      <c r="Q2423" s="43"/>
      <c r="R2423" s="43"/>
      <c r="S2423" s="60"/>
      <c r="T2423" s="60"/>
      <c r="U2423" s="43"/>
    </row>
    <row r="2424" spans="1:21" ht="30" customHeight="1" thickBot="1" x14ac:dyDescent="0.3">
      <c r="A2424" s="1234"/>
      <c r="B2424" s="1235"/>
      <c r="C2424" s="1235"/>
      <c r="D2424" s="1236"/>
      <c r="E2424" s="167"/>
      <c r="F2424" s="63"/>
      <c r="G2424" s="63"/>
      <c r="H2424" s="63"/>
      <c r="I2424" s="136"/>
      <c r="J2424" s="1276" t="s">
        <v>358</v>
      </c>
      <c r="K2424" s="1836">
        <f>+K2423</f>
        <v>609.20383132138522</v>
      </c>
      <c r="L2424" s="173" t="s">
        <v>117</v>
      </c>
      <c r="M2424" s="1888"/>
      <c r="P2424" s="43"/>
      <c r="Q2424" s="43"/>
      <c r="R2424" s="43"/>
      <c r="S2424" s="60"/>
      <c r="T2424" s="60"/>
      <c r="U2424" s="43"/>
    </row>
    <row r="2425" spans="1:21" ht="30" customHeight="1" thickBot="1" x14ac:dyDescent="0.3">
      <c r="A2425" s="76"/>
      <c r="B2425" s="77"/>
      <c r="C2425" s="77"/>
      <c r="D2425" s="77"/>
      <c r="E2425" s="77"/>
      <c r="F2425" s="77"/>
      <c r="G2425" s="77"/>
      <c r="H2425" s="77"/>
      <c r="I2425" s="77"/>
      <c r="J2425" s="77"/>
      <c r="K2425" s="77"/>
      <c r="L2425" s="78"/>
      <c r="M2425" s="1888"/>
      <c r="P2425" s="43"/>
      <c r="Q2425" s="43"/>
      <c r="R2425" s="43"/>
      <c r="S2425" s="60"/>
      <c r="T2425" s="60"/>
      <c r="U2425" s="43"/>
    </row>
    <row r="2426" spans="1:21" ht="30" customHeight="1" x14ac:dyDescent="0.25">
      <c r="A2426" s="207" t="s">
        <v>288</v>
      </c>
      <c r="B2426" s="208">
        <v>4114</v>
      </c>
      <c r="C2426" s="209" t="s">
        <v>1805</v>
      </c>
      <c r="D2426" s="210"/>
      <c r="E2426" s="36" t="s">
        <v>291</v>
      </c>
      <c r="F2426" s="37" t="s">
        <v>6</v>
      </c>
      <c r="G2426" s="123" t="s">
        <v>375</v>
      </c>
      <c r="H2426" s="539">
        <v>14621</v>
      </c>
      <c r="I2426" s="36" t="s">
        <v>292</v>
      </c>
      <c r="J2426" s="38" t="s">
        <v>883</v>
      </c>
      <c r="K2426" s="38"/>
      <c r="L2426" s="389"/>
      <c r="M2426" s="1888"/>
      <c r="P2426" s="43"/>
      <c r="Q2426" s="43"/>
      <c r="R2426" s="43"/>
      <c r="S2426" s="60"/>
      <c r="T2426" s="60"/>
      <c r="U2426" s="43"/>
    </row>
    <row r="2427" spans="1:21" ht="30" customHeight="1" x14ac:dyDescent="0.25">
      <c r="A2427" s="48" t="s">
        <v>529</v>
      </c>
      <c r="B2427" s="490" t="s">
        <v>560</v>
      </c>
      <c r="C2427" s="491"/>
      <c r="D2427" s="492"/>
      <c r="E2427" s="793" t="s">
        <v>519</v>
      </c>
      <c r="F2427" s="793" t="s">
        <v>561</v>
      </c>
      <c r="G2427" s="1240" t="s">
        <v>562</v>
      </c>
      <c r="H2427" s="1241"/>
      <c r="I2427" s="181" t="s">
        <v>530</v>
      </c>
      <c r="J2427" s="44"/>
      <c r="K2427" s="507" t="s">
        <v>521</v>
      </c>
      <c r="L2427" s="508"/>
      <c r="M2427" s="1888"/>
      <c r="P2427" s="43"/>
      <c r="Q2427" s="43"/>
      <c r="R2427" s="43"/>
      <c r="S2427" s="60"/>
      <c r="T2427" s="60"/>
      <c r="U2427" s="43"/>
    </row>
    <row r="2428" spans="1:21" ht="30" customHeight="1" x14ac:dyDescent="0.25">
      <c r="A2428" s="61" t="s">
        <v>1806</v>
      </c>
      <c r="B2428" s="402" t="s">
        <v>1807</v>
      </c>
      <c r="C2428" s="403"/>
      <c r="D2428" s="404"/>
      <c r="E2428" s="405">
        <v>13000</v>
      </c>
      <c r="F2428" s="730" t="s">
        <v>11</v>
      </c>
      <c r="G2428" s="1242">
        <v>1000</v>
      </c>
      <c r="H2428" s="363" t="s">
        <v>1808</v>
      </c>
      <c r="I2428" s="649">
        <v>1.04</v>
      </c>
      <c r="J2428" s="751"/>
      <c r="K2428" s="594">
        <f>+E2428/G2428*I2428</f>
        <v>13.52</v>
      </c>
      <c r="L2428" s="20" t="s">
        <v>6</v>
      </c>
      <c r="P2428" s="43"/>
      <c r="Q2428" s="43"/>
      <c r="R2428" s="43"/>
      <c r="S2428" s="60"/>
      <c r="T2428" s="60"/>
      <c r="U2428" s="43"/>
    </row>
    <row r="2429" spans="1:21" ht="30" customHeight="1" x14ac:dyDescent="0.25">
      <c r="A2429" s="61" t="s">
        <v>1806</v>
      </c>
      <c r="B2429" s="402" t="s">
        <v>1809</v>
      </c>
      <c r="C2429" s="403"/>
      <c r="D2429" s="404"/>
      <c r="E2429" s="1092">
        <v>4675</v>
      </c>
      <c r="F2429" s="730" t="s">
        <v>11</v>
      </c>
      <c r="G2429" s="1242">
        <v>1500</v>
      </c>
      <c r="H2429" s="363" t="s">
        <v>1808</v>
      </c>
      <c r="I2429" s="649">
        <v>1.04</v>
      </c>
      <c r="J2429" s="751"/>
      <c r="K2429" s="594">
        <f>+E2429/G2429*I2429</f>
        <v>3.2413333333333334</v>
      </c>
      <c r="L2429" s="20" t="s">
        <v>6</v>
      </c>
      <c r="M2429" s="43"/>
    </row>
    <row r="2430" spans="1:21" ht="30" customHeight="1" x14ac:dyDescent="0.25">
      <c r="A2430" s="61"/>
      <c r="B2430" s="402"/>
      <c r="C2430" s="403"/>
      <c r="D2430" s="404"/>
      <c r="E2430" s="23"/>
      <c r="F2430" s="730"/>
      <c r="G2430" s="794"/>
      <c r="H2430" s="649"/>
      <c r="I2430" s="649"/>
      <c r="J2430" s="1243" t="s">
        <v>536</v>
      </c>
      <c r="K2430" s="594">
        <f>AVERAGE(K2428:K2429)</f>
        <v>8.3806666666666665</v>
      </c>
      <c r="L2430" s="20" t="s">
        <v>6</v>
      </c>
      <c r="P2430" s="43"/>
      <c r="Q2430" s="43"/>
      <c r="R2430" s="43"/>
      <c r="S2430" s="60"/>
      <c r="T2430" s="60"/>
      <c r="U2430" s="43"/>
    </row>
    <row r="2431" spans="1:21" ht="30" customHeight="1" x14ac:dyDescent="0.25">
      <c r="A2431" s="61" t="s">
        <v>782</v>
      </c>
      <c r="B2431" s="402" t="s">
        <v>1810</v>
      </c>
      <c r="C2431" s="403"/>
      <c r="D2431" s="403"/>
      <c r="E2431" s="405">
        <v>29.75</v>
      </c>
      <c r="F2431" s="730" t="s">
        <v>307</v>
      </c>
      <c r="G2431" s="1244">
        <f>106.7/H2426</f>
        <v>7.2977224540045141E-3</v>
      </c>
      <c r="H2431" s="649" t="s">
        <v>1811</v>
      </c>
      <c r="I2431" s="20">
        <v>1.04</v>
      </c>
      <c r="J2431" s="751"/>
      <c r="K2431" s="594">
        <f>+E2431*G2431*I2431</f>
        <v>0.22579153272689967</v>
      </c>
      <c r="L2431" s="20" t="s">
        <v>6</v>
      </c>
      <c r="P2431" s="43"/>
      <c r="Q2431" s="43"/>
      <c r="R2431" s="43"/>
      <c r="S2431" s="60"/>
      <c r="T2431" s="60"/>
      <c r="U2431" s="43"/>
    </row>
    <row r="2432" spans="1:21" ht="30" customHeight="1" x14ac:dyDescent="0.25">
      <c r="A2432" s="61" t="s">
        <v>815</v>
      </c>
      <c r="B2432" s="402" t="s">
        <v>1812</v>
      </c>
      <c r="C2432" s="403"/>
      <c r="D2432" s="404"/>
      <c r="E2432" s="760">
        <v>34.5</v>
      </c>
      <c r="F2432" s="22" t="s">
        <v>576</v>
      </c>
      <c r="G2432" s="1244">
        <f>130/H2426</f>
        <v>8.8913207030982839E-3</v>
      </c>
      <c r="H2432" s="758" t="s">
        <v>1813</v>
      </c>
      <c r="I2432" s="20">
        <v>1.04</v>
      </c>
      <c r="J2432" s="751"/>
      <c r="K2432" s="904">
        <f>+E2432*G2432*I2432*2</f>
        <v>0.63804117365433288</v>
      </c>
      <c r="L2432" s="22" t="s">
        <v>6</v>
      </c>
      <c r="P2432" s="43"/>
      <c r="Q2432" s="43"/>
      <c r="R2432" s="43"/>
      <c r="S2432" s="60"/>
      <c r="T2432" s="60"/>
      <c r="U2432" s="43"/>
    </row>
    <row r="2433" spans="1:23" s="49" customFormat="1" ht="30" customHeight="1" x14ac:dyDescent="0.25">
      <c r="A2433" s="61" t="s">
        <v>782</v>
      </c>
      <c r="B2433" s="503" t="s">
        <v>1814</v>
      </c>
      <c r="C2433" s="504"/>
      <c r="D2433" s="504"/>
      <c r="E2433" s="405">
        <f>+(0.61+4.54)/2</f>
        <v>2.5750000000000002</v>
      </c>
      <c r="F2433" s="730" t="s">
        <v>3</v>
      </c>
      <c r="G2433" s="725">
        <f>146.7/H2426</f>
        <v>1.0033513439573215E-2</v>
      </c>
      <c r="H2433" s="649" t="s">
        <v>1815</v>
      </c>
      <c r="I2433" s="20">
        <v>1.04</v>
      </c>
      <c r="J2433" s="751"/>
      <c r="K2433" s="594">
        <f>+E2433*G2433*I2433</f>
        <v>2.6869748991177073E-2</v>
      </c>
      <c r="L2433" s="20" t="s">
        <v>6</v>
      </c>
      <c r="M2433" s="502"/>
      <c r="N2433" s="502"/>
      <c r="O2433" s="27"/>
      <c r="P2433" s="50"/>
      <c r="Q2433" s="50"/>
      <c r="R2433" s="50"/>
      <c r="S2433" s="212"/>
      <c r="T2433" s="212"/>
      <c r="U2433" s="50"/>
    </row>
    <row r="2434" spans="1:23" ht="30" customHeight="1" x14ac:dyDescent="0.25">
      <c r="A2434" s="61"/>
      <c r="B2434" s="402" t="s">
        <v>1816</v>
      </c>
      <c r="C2434" s="403"/>
      <c r="D2434" s="403"/>
      <c r="E2434" s="404"/>
      <c r="F2434" s="20"/>
      <c r="G2434" s="838"/>
      <c r="H2434" s="754"/>
      <c r="I2434" s="20"/>
      <c r="J2434" s="20" t="s">
        <v>578</v>
      </c>
      <c r="K2434" s="594">
        <f>+K2430+K2431+K2432+K2433</f>
        <v>9.2713691220390757</v>
      </c>
      <c r="L2434" s="20" t="s">
        <v>6</v>
      </c>
      <c r="M2434" s="12"/>
      <c r="N2434" s="671"/>
      <c r="R2434" s="43"/>
      <c r="S2434" s="43"/>
      <c r="T2434" s="43"/>
      <c r="U2434" s="60"/>
      <c r="V2434" s="60"/>
      <c r="W2434" s="43"/>
    </row>
    <row r="2435" spans="1:23" ht="30" customHeight="1" x14ac:dyDescent="0.25">
      <c r="A2435" s="61"/>
      <c r="B2435" s="410"/>
      <c r="C2435" s="410"/>
      <c r="D2435" s="410"/>
      <c r="E2435" s="405"/>
      <c r="F2435" s="338" t="s">
        <v>533</v>
      </c>
      <c r="G2435" s="339" t="s">
        <v>534</v>
      </c>
      <c r="H2435" s="339"/>
      <c r="I2435" s="339"/>
      <c r="J2435" s="339"/>
      <c r="K2435" s="497">
        <v>1.07</v>
      </c>
      <c r="L2435" s="10"/>
      <c r="P2435" s="43"/>
      <c r="Q2435" s="43"/>
      <c r="R2435" s="43"/>
      <c r="S2435" s="60"/>
      <c r="T2435" s="60"/>
      <c r="U2435" s="43"/>
    </row>
    <row r="2436" spans="1:23" ht="30" customHeight="1" x14ac:dyDescent="0.25">
      <c r="A2436" s="61"/>
      <c r="B2436" s="410"/>
      <c r="C2436" s="410"/>
      <c r="D2436" s="410"/>
      <c r="E2436" s="405"/>
      <c r="F2436" s="343"/>
      <c r="G2436" s="344" t="s">
        <v>535</v>
      </c>
      <c r="H2436" s="344"/>
      <c r="I2436" s="344"/>
      <c r="J2436" s="344"/>
      <c r="K2436" s="340">
        <v>1.02</v>
      </c>
      <c r="L2436" s="10"/>
      <c r="N2436" s="1888"/>
      <c r="P2436" s="43"/>
      <c r="Q2436" s="43"/>
      <c r="R2436" s="43"/>
      <c r="S2436" s="60"/>
      <c r="T2436" s="60"/>
      <c r="U2436" s="43"/>
    </row>
    <row r="2437" spans="1:23" ht="30" customHeight="1" x14ac:dyDescent="0.25">
      <c r="A2437" s="61"/>
      <c r="B2437" s="20"/>
      <c r="C2437" s="18"/>
      <c r="D2437" s="18"/>
      <c r="E2437" s="18"/>
      <c r="F2437" s="18"/>
      <c r="G2437" s="18"/>
      <c r="H2437" s="18"/>
      <c r="I2437" s="18"/>
      <c r="J2437" s="20" t="s">
        <v>358</v>
      </c>
      <c r="K2437" s="594">
        <f>+K2434*K2435/K2436</f>
        <v>9.7258480005704033</v>
      </c>
      <c r="L2437" s="20" t="s">
        <v>6</v>
      </c>
      <c r="N2437" s="1888"/>
      <c r="P2437" s="43"/>
      <c r="Q2437" s="43"/>
      <c r="R2437" s="43"/>
      <c r="S2437" s="60"/>
      <c r="T2437" s="60"/>
      <c r="U2437" s="43"/>
    </row>
    <row r="2438" spans="1:23" ht="30" customHeight="1" thickBot="1" x14ac:dyDescent="0.3">
      <c r="A2438" s="61"/>
      <c r="B2438" s="20"/>
      <c r="C2438" s="18"/>
      <c r="D2438" s="18"/>
      <c r="E2438" s="18"/>
      <c r="F2438" s="18"/>
      <c r="G2438" s="13"/>
      <c r="H2438" s="18"/>
      <c r="I2438" s="1245" t="s">
        <v>537</v>
      </c>
      <c r="J2438" s="361">
        <f>VLOOKUP(B2426,'Mil Cost Premiums for RUCs'!$A$4:$R$265,18,FALSE)</f>
        <v>1.0209999999999999</v>
      </c>
      <c r="K2438" s="594">
        <f>+K2437*J2438</f>
        <v>9.9300908085823814</v>
      </c>
      <c r="L2438" s="20" t="s">
        <v>6</v>
      </c>
      <c r="N2438" s="1888"/>
      <c r="P2438" s="43"/>
      <c r="Q2438" s="43"/>
      <c r="R2438" s="43"/>
      <c r="S2438" s="60"/>
      <c r="T2438" s="60"/>
      <c r="U2438" s="43"/>
    </row>
    <row r="2439" spans="1:23" ht="30" customHeight="1" thickBot="1" x14ac:dyDescent="0.3">
      <c r="A2439" s="76"/>
      <c r="B2439" s="77"/>
      <c r="C2439" s="77"/>
      <c r="D2439" s="77"/>
      <c r="E2439" s="77"/>
      <c r="F2439" s="77"/>
      <c r="G2439" s="77"/>
      <c r="H2439" s="77"/>
      <c r="I2439" s="77"/>
      <c r="J2439" s="77"/>
      <c r="K2439" s="77"/>
      <c r="L2439" s="78"/>
      <c r="M2439" s="1888"/>
      <c r="P2439" s="43"/>
      <c r="Q2439" s="43"/>
      <c r="R2439" s="43"/>
      <c r="S2439" s="60"/>
      <c r="T2439" s="60"/>
      <c r="U2439" s="43"/>
    </row>
    <row r="2440" spans="1:23" ht="30" customHeight="1" x14ac:dyDescent="0.25">
      <c r="A2440" s="30" t="s">
        <v>288</v>
      </c>
      <c r="B2440" s="31">
        <v>4121</v>
      </c>
      <c r="C2440" s="484" t="s">
        <v>1817</v>
      </c>
      <c r="D2440" s="485"/>
      <c r="E2440" s="36" t="s">
        <v>291</v>
      </c>
      <c r="F2440" s="37" t="s">
        <v>6</v>
      </c>
      <c r="G2440" s="123" t="s">
        <v>375</v>
      </c>
      <c r="H2440" s="302">
        <v>120187</v>
      </c>
      <c r="I2440" s="177" t="s">
        <v>292</v>
      </c>
      <c r="J2440" s="38" t="s">
        <v>1818</v>
      </c>
      <c r="K2440" s="39"/>
      <c r="L2440" s="40"/>
      <c r="M2440" s="1888"/>
      <c r="P2440" s="43"/>
      <c r="Q2440" s="43"/>
      <c r="R2440" s="43"/>
      <c r="S2440" s="60"/>
      <c r="T2440" s="60"/>
      <c r="U2440" s="43"/>
    </row>
    <row r="2441" spans="1:23" ht="30" customHeight="1" x14ac:dyDescent="0.25">
      <c r="A2441" s="44" t="s">
        <v>517</v>
      </c>
      <c r="B2441" s="45" t="s">
        <v>295</v>
      </c>
      <c r="C2441" s="45"/>
      <c r="D2441" s="45"/>
      <c r="E2441" s="715" t="s">
        <v>519</v>
      </c>
      <c r="F2441" s="44" t="s">
        <v>518</v>
      </c>
      <c r="G2441" s="665" t="s">
        <v>562</v>
      </c>
      <c r="H2441" s="666"/>
      <c r="I2441" s="286" t="s">
        <v>520</v>
      </c>
      <c r="J2441" s="287"/>
      <c r="K2441" s="288" t="s">
        <v>521</v>
      </c>
      <c r="L2441" s="289"/>
      <c r="P2441" s="43"/>
      <c r="Q2441" s="43"/>
      <c r="R2441" s="43"/>
      <c r="S2441" s="60"/>
      <c r="T2441" s="60"/>
      <c r="U2441" s="43"/>
    </row>
    <row r="2442" spans="1:23" ht="30" customHeight="1" x14ac:dyDescent="0.25">
      <c r="A2442" s="61">
        <v>41150</v>
      </c>
      <c r="B2442" s="236" t="s">
        <v>1819</v>
      </c>
      <c r="C2442" s="237"/>
      <c r="D2442" s="238"/>
      <c r="E2442" s="530">
        <v>91</v>
      </c>
      <c r="F2442" s="1246">
        <v>105000</v>
      </c>
      <c r="G2442" s="680">
        <v>42</v>
      </c>
      <c r="H2442" s="680" t="s">
        <v>1820</v>
      </c>
      <c r="I2442" s="1109">
        <f>+'MILCON Inflation Table'!F10</f>
        <v>1.1691837124832727</v>
      </c>
      <c r="J2442" s="1110"/>
      <c r="K2442" s="304">
        <f>+E2442/G2442*I2442</f>
        <v>2.5332313770470907</v>
      </c>
      <c r="L2442" s="290" t="s">
        <v>6</v>
      </c>
      <c r="M2442" s="43"/>
    </row>
    <row r="2443" spans="1:23" ht="30" customHeight="1" thickBot="1" x14ac:dyDescent="0.3">
      <c r="A2443" s="61"/>
      <c r="B2443" s="716" t="s">
        <v>1821</v>
      </c>
      <c r="C2443" s="717"/>
      <c r="D2443" s="718"/>
      <c r="E2443" s="163"/>
      <c r="F2443" s="786"/>
      <c r="G2443" s="163"/>
      <c r="H2443" s="720"/>
      <c r="I2443" s="63"/>
      <c r="J2443" s="48" t="s">
        <v>358</v>
      </c>
      <c r="K2443" s="222">
        <f>AVERAGE(K2442:K2442)</f>
        <v>2.5332313770470907</v>
      </c>
      <c r="L2443" s="65" t="s">
        <v>6</v>
      </c>
      <c r="M2443" s="419"/>
      <c r="N2443" s="420"/>
      <c r="O2443"/>
      <c r="P2443" s="412"/>
      <c r="Q2443" s="391"/>
      <c r="R2443" s="393"/>
    </row>
    <row r="2444" spans="1:23" ht="30" customHeight="1" thickBot="1" x14ac:dyDescent="0.3">
      <c r="A2444" s="76"/>
      <c r="B2444" s="77"/>
      <c r="C2444" s="77"/>
      <c r="D2444" s="77"/>
      <c r="E2444" s="77"/>
      <c r="F2444" s="77"/>
      <c r="G2444" s="77"/>
      <c r="H2444" s="77"/>
      <c r="I2444" s="77"/>
      <c r="J2444" s="77"/>
      <c r="K2444" s="77"/>
      <c r="L2444" s="78"/>
      <c r="M2444" s="419"/>
      <c r="N2444" s="420"/>
      <c r="O2444"/>
      <c r="P2444" s="412"/>
      <c r="Q2444" s="391"/>
      <c r="R2444" s="393"/>
    </row>
    <row r="2445" spans="1:23" ht="30" customHeight="1" x14ac:dyDescent="0.25">
      <c r="A2445" s="207" t="s">
        <v>288</v>
      </c>
      <c r="B2445" s="208">
        <v>4211</v>
      </c>
      <c r="C2445" s="282" t="s">
        <v>1822</v>
      </c>
      <c r="D2445" s="283"/>
      <c r="E2445" s="177" t="s">
        <v>291</v>
      </c>
      <c r="F2445" s="178" t="s">
        <v>9</v>
      </c>
      <c r="G2445" s="123" t="s">
        <v>375</v>
      </c>
      <c r="H2445" s="302">
        <v>2729</v>
      </c>
      <c r="I2445" s="177" t="s">
        <v>292</v>
      </c>
      <c r="J2445" s="38" t="s">
        <v>623</v>
      </c>
      <c r="K2445" s="39"/>
      <c r="L2445" s="40"/>
      <c r="M2445" s="419"/>
      <c r="N2445" s="420"/>
      <c r="O2445"/>
      <c r="P2445" s="412"/>
      <c r="Q2445" s="391"/>
      <c r="R2445" s="393"/>
    </row>
    <row r="2446" spans="1:23" s="49" customFormat="1" ht="30" customHeight="1" x14ac:dyDescent="0.25">
      <c r="A2446" s="44" t="s">
        <v>517</v>
      </c>
      <c r="B2446" s="180" t="s">
        <v>295</v>
      </c>
      <c r="C2446" s="180"/>
      <c r="D2446" s="180"/>
      <c r="E2446" s="715" t="s">
        <v>519</v>
      </c>
      <c r="F2446" s="44" t="s">
        <v>518</v>
      </c>
      <c r="G2446" s="665" t="s">
        <v>562</v>
      </c>
      <c r="H2446" s="666"/>
      <c r="I2446" s="286" t="s">
        <v>520</v>
      </c>
      <c r="J2446" s="287"/>
      <c r="K2446" s="288" t="s">
        <v>521</v>
      </c>
      <c r="L2446" s="289"/>
      <c r="M2446" s="425"/>
      <c r="N2446" s="420"/>
      <c r="P2446" s="412"/>
      <c r="Q2446" s="391"/>
      <c r="R2446" s="393"/>
    </row>
    <row r="2447" spans="1:23" ht="30" customHeight="1" x14ac:dyDescent="0.25">
      <c r="A2447" s="147">
        <v>42120</v>
      </c>
      <c r="B2447" s="214" t="s">
        <v>1823</v>
      </c>
      <c r="C2447" s="214"/>
      <c r="D2447" s="214"/>
      <c r="E2447" s="530">
        <v>462</v>
      </c>
      <c r="F2447" s="1246">
        <v>9400</v>
      </c>
      <c r="G2447" s="680"/>
      <c r="H2447" s="680"/>
      <c r="I2447" s="1109">
        <f>+'MILCON Inflation Table'!F17</f>
        <v>0.9432470865927236</v>
      </c>
      <c r="J2447" s="1110"/>
      <c r="K2447" s="1218">
        <f>+E2447*I2447</f>
        <v>435.78015400583831</v>
      </c>
      <c r="L2447" s="147" t="s">
        <v>9</v>
      </c>
      <c r="M2447" s="419"/>
      <c r="N2447" s="420"/>
      <c r="O2447"/>
      <c r="P2447" s="412"/>
      <c r="Q2447" s="391"/>
      <c r="R2447" s="393"/>
    </row>
    <row r="2448" spans="1:23" ht="30" customHeight="1" thickBot="1" x14ac:dyDescent="0.3">
      <c r="A2448" s="20"/>
      <c r="B2448" s="191"/>
      <c r="C2448" s="191"/>
      <c r="D2448" s="191"/>
      <c r="E2448" s="297"/>
      <c r="F2448" s="298"/>
      <c r="G2448" s="298"/>
      <c r="H2448" s="299"/>
      <c r="I2448" s="18"/>
      <c r="J2448" s="185" t="s">
        <v>358</v>
      </c>
      <c r="K2448" s="305">
        <f>+K2447</f>
        <v>435.78015400583831</v>
      </c>
      <c r="L2448" s="20" t="s">
        <v>9</v>
      </c>
      <c r="M2448" s="419"/>
      <c r="N2448" s="420"/>
      <c r="O2448"/>
      <c r="P2448" s="412"/>
      <c r="Q2448" s="391"/>
      <c r="R2448" s="393"/>
    </row>
    <row r="2449" spans="1:21" ht="30" customHeight="1" thickBot="1" x14ac:dyDescent="0.3">
      <c r="A2449" s="76"/>
      <c r="B2449" s="77"/>
      <c r="C2449" s="77"/>
      <c r="D2449" s="77"/>
      <c r="E2449" s="77"/>
      <c r="F2449" s="77"/>
      <c r="G2449" s="77"/>
      <c r="H2449" s="77"/>
      <c r="I2449" s="77"/>
      <c r="J2449" s="77"/>
      <c r="K2449" s="77"/>
      <c r="L2449" s="78"/>
      <c r="M2449" s="419"/>
      <c r="N2449" s="420"/>
      <c r="O2449"/>
      <c r="P2449" s="412"/>
      <c r="Q2449" s="391"/>
      <c r="R2449" s="393"/>
    </row>
    <row r="2450" spans="1:21" ht="30" customHeight="1" x14ac:dyDescent="0.25">
      <c r="A2450" s="30" t="s">
        <v>288</v>
      </c>
      <c r="B2450" s="31">
        <v>4212</v>
      </c>
      <c r="C2450" s="484" t="s">
        <v>1824</v>
      </c>
      <c r="D2450" s="485"/>
      <c r="E2450" s="177" t="s">
        <v>291</v>
      </c>
      <c r="F2450" s="178" t="s">
        <v>9</v>
      </c>
      <c r="G2450" s="123" t="s">
        <v>375</v>
      </c>
      <c r="H2450" s="539">
        <v>3089</v>
      </c>
      <c r="I2450" s="177" t="s">
        <v>292</v>
      </c>
      <c r="J2450" s="38" t="s">
        <v>1504</v>
      </c>
      <c r="K2450" s="38"/>
      <c r="L2450" s="389"/>
      <c r="M2450" s="419"/>
      <c r="N2450" s="420"/>
      <c r="O2450"/>
      <c r="P2450" s="412"/>
      <c r="Q2450" s="391"/>
      <c r="R2450" s="393"/>
    </row>
    <row r="2451" spans="1:21" ht="30" customHeight="1" x14ac:dyDescent="0.25">
      <c r="A2451" s="48" t="s">
        <v>529</v>
      </c>
      <c r="B2451" s="490" t="s">
        <v>560</v>
      </c>
      <c r="C2451" s="491"/>
      <c r="D2451" s="492"/>
      <c r="E2451" s="397" t="s">
        <v>519</v>
      </c>
      <c r="F2451" s="397" t="s">
        <v>561</v>
      </c>
      <c r="G2451" s="398" t="s">
        <v>562</v>
      </c>
      <c r="H2451" s="399"/>
      <c r="I2451" s="181" t="s">
        <v>530</v>
      </c>
      <c r="J2451" s="181"/>
      <c r="K2451" s="288" t="s">
        <v>521</v>
      </c>
      <c r="L2451" s="289"/>
      <c r="M2451" s="419"/>
      <c r="N2451" s="420"/>
      <c r="O2451"/>
      <c r="P2451" s="412"/>
      <c r="Q2451" s="391"/>
      <c r="R2451" s="393"/>
    </row>
    <row r="2452" spans="1:21" ht="45" customHeight="1" x14ac:dyDescent="0.25">
      <c r="A2452" s="61" t="s">
        <v>758</v>
      </c>
      <c r="B2452" s="236" t="s">
        <v>1825</v>
      </c>
      <c r="C2452" s="237"/>
      <c r="D2452" s="238"/>
      <c r="E2452" s="405">
        <v>149.46</v>
      </c>
      <c r="F2452" s="20" t="s">
        <v>9</v>
      </c>
      <c r="G2452" s="522"/>
      <c r="H2452" s="20"/>
      <c r="I2452" s="20">
        <v>1.03</v>
      </c>
      <c r="J2452" s="751"/>
      <c r="K2452" s="405">
        <f>+E2452*I2452</f>
        <v>153.94380000000001</v>
      </c>
      <c r="L2452" s="20" t="s">
        <v>9</v>
      </c>
      <c r="M2452" s="419"/>
      <c r="N2452" s="420"/>
      <c r="O2452"/>
      <c r="P2452" s="412"/>
      <c r="Q2452" s="391"/>
      <c r="R2452" s="393"/>
    </row>
    <row r="2453" spans="1:21" ht="30" customHeight="1" x14ac:dyDescent="0.25">
      <c r="A2453" s="61" t="s">
        <v>760</v>
      </c>
      <c r="B2453" s="402" t="s">
        <v>1826</v>
      </c>
      <c r="C2453" s="403"/>
      <c r="D2453" s="404"/>
      <c r="E2453" s="1092">
        <v>132000</v>
      </c>
      <c r="F2453" s="20" t="s">
        <v>11</v>
      </c>
      <c r="G2453" s="1098">
        <f>+H2450</f>
        <v>3089</v>
      </c>
      <c r="H2453" s="754" t="s">
        <v>1468</v>
      </c>
      <c r="I2453" s="20">
        <v>1.03</v>
      </c>
      <c r="J2453" s="751"/>
      <c r="K2453" s="405">
        <f>+E2453/G2453*I2453*1</f>
        <v>44.01424409193914</v>
      </c>
      <c r="L2453" s="20" t="s">
        <v>9</v>
      </c>
      <c r="M2453" s="419"/>
      <c r="N2453" s="420"/>
      <c r="O2453"/>
      <c r="P2453" s="412"/>
      <c r="Q2453" s="391"/>
      <c r="R2453" s="393"/>
    </row>
    <row r="2454" spans="1:21" ht="30" customHeight="1" x14ac:dyDescent="0.25">
      <c r="A2454" s="61" t="s">
        <v>760</v>
      </c>
      <c r="B2454" s="402" t="s">
        <v>1827</v>
      </c>
      <c r="C2454" s="403"/>
      <c r="D2454" s="404"/>
      <c r="E2454" s="405">
        <f>(228+250)/2</f>
        <v>239</v>
      </c>
      <c r="F2454" s="730" t="s">
        <v>7</v>
      </c>
      <c r="G2454" s="838">
        <v>120</v>
      </c>
      <c r="H2454" s="754" t="s">
        <v>1558</v>
      </c>
      <c r="I2454" s="20">
        <v>1.03</v>
      </c>
      <c r="J2454" s="751"/>
      <c r="K2454" s="405">
        <f>+(E2454*G2454)/$G$2453*I2454</f>
        <v>9.5630948527031414</v>
      </c>
      <c r="L2454" s="20" t="s">
        <v>9</v>
      </c>
      <c r="M2454" s="670"/>
      <c r="N2454" s="671"/>
      <c r="O2454" s="43"/>
      <c r="P2454" s="672"/>
      <c r="Q2454" s="671"/>
      <c r="R2454" s="673"/>
    </row>
    <row r="2455" spans="1:21" ht="30" customHeight="1" x14ac:dyDescent="0.25">
      <c r="A2455" s="61" t="s">
        <v>760</v>
      </c>
      <c r="B2455" s="402" t="s">
        <v>1557</v>
      </c>
      <c r="C2455" s="403"/>
      <c r="D2455" s="404"/>
      <c r="E2455" s="405">
        <f>+(22.2+44.75)/2</f>
        <v>33.475000000000001</v>
      </c>
      <c r="F2455" s="20" t="s">
        <v>7</v>
      </c>
      <c r="G2455" s="838">
        <v>120</v>
      </c>
      <c r="H2455" s="754"/>
      <c r="I2455" s="20">
        <v>1.03</v>
      </c>
      <c r="J2455" s="751"/>
      <c r="K2455" s="405">
        <f>+(E2455*G2455)/$G$2453*I2455</f>
        <v>1.3394334736160571</v>
      </c>
      <c r="L2455" s="20" t="s">
        <v>9</v>
      </c>
      <c r="M2455" s="670"/>
      <c r="N2455" s="671"/>
      <c r="O2455" s="43"/>
      <c r="P2455" s="672"/>
      <c r="Q2455" s="671"/>
      <c r="R2455" s="673"/>
    </row>
    <row r="2456" spans="1:21" ht="30" customHeight="1" x14ac:dyDescent="0.25">
      <c r="A2456" s="61" t="s">
        <v>644</v>
      </c>
      <c r="B2456" s="716" t="s">
        <v>1828</v>
      </c>
      <c r="C2456" s="717"/>
      <c r="D2456" s="717"/>
      <c r="E2456" s="405">
        <v>5.0599999999999996</v>
      </c>
      <c r="F2456" s="730" t="s">
        <v>9</v>
      </c>
      <c r="G2456" s="838"/>
      <c r="H2456" s="754"/>
      <c r="I2456" s="20">
        <v>1.03</v>
      </c>
      <c r="J2456" s="751"/>
      <c r="K2456" s="405">
        <f>+E2456*I2456</f>
        <v>5.2117999999999993</v>
      </c>
      <c r="L2456" s="20" t="s">
        <v>9</v>
      </c>
      <c r="M2456" s="419"/>
      <c r="N2456" s="420"/>
      <c r="O2456"/>
      <c r="P2456" s="412"/>
      <c r="Q2456" s="391"/>
      <c r="R2456" s="393"/>
    </row>
    <row r="2457" spans="1:21" ht="30" customHeight="1" x14ac:dyDescent="0.25">
      <c r="A2457" s="61"/>
      <c r="B2457" s="192"/>
      <c r="C2457" s="192"/>
      <c r="D2457" s="192"/>
      <c r="E2457" s="405"/>
      <c r="F2457" s="20"/>
      <c r="G2457" s="838"/>
      <c r="H2457" s="754"/>
      <c r="I2457" s="20"/>
      <c r="J2457" s="20" t="s">
        <v>578</v>
      </c>
      <c r="K2457" s="405">
        <f>SUM(K2452:K2456)</f>
        <v>214.07237241825834</v>
      </c>
      <c r="L2457" s="20" t="s">
        <v>9</v>
      </c>
      <c r="N2457" s="342"/>
      <c r="O2457" s="42"/>
      <c r="P2457" s="41"/>
      <c r="Q2457" s="41"/>
      <c r="R2457" s="41"/>
      <c r="S2457" s="41"/>
      <c r="T2457" s="41"/>
      <c r="U2457" s="43"/>
    </row>
    <row r="2458" spans="1:21" ht="30" customHeight="1" x14ac:dyDescent="0.25">
      <c r="A2458" s="61"/>
      <c r="B2458" s="498"/>
      <c r="C2458" s="498"/>
      <c r="D2458" s="498"/>
      <c r="E2458" s="405"/>
      <c r="F2458" s="338" t="s">
        <v>533</v>
      </c>
      <c r="G2458" s="339" t="s">
        <v>534</v>
      </c>
      <c r="H2458" s="339"/>
      <c r="I2458" s="339"/>
      <c r="J2458" s="339"/>
      <c r="K2458" s="751">
        <v>1.08</v>
      </c>
      <c r="L2458" s="10"/>
      <c r="U2458" s="43"/>
    </row>
    <row r="2459" spans="1:21" s="41" customFormat="1" ht="30" customHeight="1" x14ac:dyDescent="0.25">
      <c r="A2459" s="61"/>
      <c r="B2459" s="498"/>
      <c r="C2459" s="498"/>
      <c r="D2459" s="498"/>
      <c r="E2459" s="405"/>
      <c r="F2459" s="343"/>
      <c r="G2459" s="344" t="s">
        <v>535</v>
      </c>
      <c r="H2459" s="344"/>
      <c r="I2459" s="344"/>
      <c r="J2459" s="344"/>
      <c r="K2459" s="340">
        <v>1.02</v>
      </c>
      <c r="L2459" s="10"/>
      <c r="M2459" s="341"/>
      <c r="N2459" s="25"/>
      <c r="O2459" s="27"/>
      <c r="P2459"/>
      <c r="Q2459"/>
      <c r="R2459"/>
      <c r="S2459"/>
      <c r="T2459"/>
    </row>
    <row r="2460" spans="1:21" s="49" customFormat="1" ht="30" customHeight="1" x14ac:dyDescent="0.25">
      <c r="A2460" s="61"/>
      <c r="B2460" s="1247" t="s">
        <v>1829</v>
      </c>
      <c r="C2460" s="63"/>
      <c r="D2460" s="63"/>
      <c r="E2460" s="63"/>
      <c r="F2460" s="63"/>
      <c r="G2460" s="63"/>
      <c r="H2460" s="63"/>
      <c r="I2460" s="63"/>
      <c r="J2460" s="61" t="s">
        <v>358</v>
      </c>
      <c r="K2460" s="21">
        <f>+K2457*K2458/K2459</f>
        <v>226.66486491345003</v>
      </c>
      <c r="L2460" s="61" t="s">
        <v>9</v>
      </c>
      <c r="M2460" s="502"/>
      <c r="N2460" s="502"/>
      <c r="O2460" s="27"/>
      <c r="P2460" s="50"/>
      <c r="Q2460" s="50"/>
      <c r="R2460" s="50"/>
      <c r="S2460" s="212"/>
      <c r="T2460" s="212"/>
    </row>
    <row r="2461" spans="1:21" ht="30" customHeight="1" thickBot="1" x14ac:dyDescent="0.3">
      <c r="A2461" s="61"/>
      <c r="B2461" s="1248" t="s">
        <v>1830</v>
      </c>
      <c r="C2461" s="1249"/>
      <c r="D2461" s="1250"/>
      <c r="E2461" s="63"/>
      <c r="F2461" s="63"/>
      <c r="G2461" s="445" t="s">
        <v>537</v>
      </c>
      <c r="H2461" s="63"/>
      <c r="I2461" s="63"/>
      <c r="J2461" s="361">
        <f>VLOOKUP(B2450,'Mil Cost Premiums for RUCs'!$A$4:$R$265,18,FALSE)</f>
        <v>1.1932356231980656</v>
      </c>
      <c r="K2461" s="21">
        <f>+K2460*J2461</f>
        <v>270.4645913421059</v>
      </c>
      <c r="L2461" s="61" t="s">
        <v>9</v>
      </c>
      <c r="M2461" s="43"/>
      <c r="P2461" s="43"/>
      <c r="Q2461" s="43"/>
      <c r="R2461" s="43"/>
      <c r="S2461" s="60"/>
      <c r="T2461" s="60"/>
    </row>
    <row r="2462" spans="1:21" ht="30" customHeight="1" thickBot="1" x14ac:dyDescent="0.3">
      <c r="A2462" s="76"/>
      <c r="B2462" s="77"/>
      <c r="C2462" s="77"/>
      <c r="D2462" s="77"/>
      <c r="E2462" s="77"/>
      <c r="F2462" s="77"/>
      <c r="G2462" s="77"/>
      <c r="H2462" s="77"/>
      <c r="I2462" s="77"/>
      <c r="J2462" s="77"/>
      <c r="K2462" s="77"/>
      <c r="L2462" s="78"/>
      <c r="P2462" s="43"/>
      <c r="Q2462" s="43"/>
      <c r="R2462" s="43"/>
      <c r="S2462" s="60"/>
      <c r="T2462" s="60"/>
      <c r="U2462" s="43"/>
    </row>
    <row r="2463" spans="1:21" ht="30" customHeight="1" x14ac:dyDescent="0.25">
      <c r="A2463" s="207" t="s">
        <v>288</v>
      </c>
      <c r="B2463" s="208">
        <v>4221</v>
      </c>
      <c r="C2463" s="282" t="s">
        <v>1831</v>
      </c>
      <c r="D2463" s="283"/>
      <c r="E2463" s="177" t="s">
        <v>291</v>
      </c>
      <c r="F2463" s="178" t="s">
        <v>9</v>
      </c>
      <c r="G2463" s="123" t="s">
        <v>375</v>
      </c>
      <c r="H2463" s="302">
        <v>2245</v>
      </c>
      <c r="I2463" s="177" t="s">
        <v>292</v>
      </c>
      <c r="J2463" s="38" t="s">
        <v>623</v>
      </c>
      <c r="K2463" s="39"/>
      <c r="L2463" s="40"/>
      <c r="U2463" s="43"/>
    </row>
    <row r="2464" spans="1:21" ht="30" customHeight="1" x14ac:dyDescent="0.25">
      <c r="A2464" s="44" t="s">
        <v>517</v>
      </c>
      <c r="B2464" s="180" t="s">
        <v>295</v>
      </c>
      <c r="C2464" s="180"/>
      <c r="D2464" s="180"/>
      <c r="E2464" s="285" t="s">
        <v>519</v>
      </c>
      <c r="F2464" s="181" t="s">
        <v>518</v>
      </c>
      <c r="G2464" s="665" t="s">
        <v>562</v>
      </c>
      <c r="H2464" s="666"/>
      <c r="I2464" s="286" t="s">
        <v>520</v>
      </c>
      <c r="J2464" s="287"/>
      <c r="K2464" s="288" t="s">
        <v>521</v>
      </c>
      <c r="L2464" s="289"/>
      <c r="U2464" s="43"/>
    </row>
    <row r="2465" spans="1:21" s="49" customFormat="1" ht="30" customHeight="1" x14ac:dyDescent="0.25">
      <c r="A2465" s="147">
        <v>42183</v>
      </c>
      <c r="B2465" s="214" t="s">
        <v>1832</v>
      </c>
      <c r="C2465" s="214"/>
      <c r="D2465" s="214"/>
      <c r="E2465" s="405">
        <v>519</v>
      </c>
      <c r="F2465" s="729">
        <v>9600</v>
      </c>
      <c r="G2465" s="680"/>
      <c r="H2465" s="680"/>
      <c r="I2465" s="1109">
        <f>+'MILCON Inflation Table'!F17</f>
        <v>0.9432470865927236</v>
      </c>
      <c r="J2465" s="1110"/>
      <c r="K2465" s="1218">
        <f>+E2465*I2465</f>
        <v>489.54523794162355</v>
      </c>
      <c r="L2465" s="147" t="s">
        <v>9</v>
      </c>
      <c r="M2465" s="1932"/>
      <c r="N2465" s="502"/>
      <c r="O2465" s="27"/>
      <c r="P2465" s="50"/>
      <c r="Q2465" s="50"/>
      <c r="R2465" s="50"/>
      <c r="S2465" s="212"/>
      <c r="T2465" s="212"/>
    </row>
    <row r="2466" spans="1:21" ht="30" customHeight="1" thickBot="1" x14ac:dyDescent="0.3">
      <c r="A2466" s="20"/>
      <c r="B2466" s="191"/>
      <c r="C2466" s="191"/>
      <c r="D2466" s="191"/>
      <c r="E2466" s="297"/>
      <c r="F2466" s="298"/>
      <c r="G2466" s="298"/>
      <c r="H2466" s="299"/>
      <c r="I2466" s="18"/>
      <c r="J2466" s="185" t="s">
        <v>358</v>
      </c>
      <c r="K2466" s="305">
        <f>+K2465</f>
        <v>489.54523794162355</v>
      </c>
      <c r="L2466" s="20" t="s">
        <v>9</v>
      </c>
      <c r="M2466" s="1932"/>
      <c r="P2466" s="43"/>
      <c r="Q2466" s="43"/>
      <c r="R2466" s="43"/>
      <c r="S2466" s="60"/>
      <c r="T2466" s="60"/>
    </row>
    <row r="2467" spans="1:21" ht="30" customHeight="1" thickBot="1" x14ac:dyDescent="0.3">
      <c r="A2467" s="76"/>
      <c r="B2467" s="77"/>
      <c r="C2467" s="77"/>
      <c r="D2467" s="77"/>
      <c r="E2467" s="77"/>
      <c r="F2467" s="77"/>
      <c r="G2467" s="77"/>
      <c r="H2467" s="77"/>
      <c r="I2467" s="77"/>
      <c r="J2467" s="77"/>
      <c r="K2467" s="77"/>
      <c r="L2467" s="78"/>
      <c r="M2467" s="419"/>
      <c r="N2467" s="420"/>
      <c r="O2467" s="43"/>
      <c r="P2467" s="412"/>
      <c r="Q2467" s="391"/>
      <c r="R2467" s="393"/>
    </row>
    <row r="2468" spans="1:21" ht="30" customHeight="1" x14ac:dyDescent="0.25">
      <c r="A2468" s="207" t="s">
        <v>288</v>
      </c>
      <c r="B2468" s="208">
        <v>4222</v>
      </c>
      <c r="C2468" s="282" t="s">
        <v>1833</v>
      </c>
      <c r="D2468" s="283"/>
      <c r="E2468" s="177" t="s">
        <v>291</v>
      </c>
      <c r="F2468" s="178" t="s">
        <v>9</v>
      </c>
      <c r="G2468" s="123" t="s">
        <v>375</v>
      </c>
      <c r="H2468" s="302">
        <v>10154</v>
      </c>
      <c r="I2468" s="177" t="s">
        <v>292</v>
      </c>
      <c r="J2468" s="38" t="s">
        <v>526</v>
      </c>
      <c r="K2468" s="39"/>
      <c r="L2468" s="40"/>
      <c r="M2468" s="419"/>
      <c r="N2468" s="420"/>
      <c r="O2468" s="1094"/>
      <c r="P2468" s="412"/>
      <c r="Q2468" s="391"/>
      <c r="R2468" s="393"/>
    </row>
    <row r="2469" spans="1:21" ht="30" customHeight="1" x14ac:dyDescent="0.25">
      <c r="A2469" s="181" t="s">
        <v>517</v>
      </c>
      <c r="B2469" s="180" t="s">
        <v>295</v>
      </c>
      <c r="C2469" s="180"/>
      <c r="D2469" s="180"/>
      <c r="E2469" s="285" t="s">
        <v>519</v>
      </c>
      <c r="F2469" s="181" t="s">
        <v>518</v>
      </c>
      <c r="G2469" s="665" t="s">
        <v>2</v>
      </c>
      <c r="H2469" s="666"/>
      <c r="I2469" s="286" t="s">
        <v>520</v>
      </c>
      <c r="J2469" s="287"/>
      <c r="K2469" s="288" t="s">
        <v>521</v>
      </c>
      <c r="L2469" s="289"/>
      <c r="M2469" s="419"/>
      <c r="N2469" s="420"/>
      <c r="O2469" s="1251"/>
      <c r="P2469" s="412"/>
      <c r="Q2469" s="391"/>
      <c r="R2469" s="393"/>
    </row>
    <row r="2470" spans="1:21" s="49" customFormat="1" ht="30" customHeight="1" x14ac:dyDescent="0.25">
      <c r="A2470" s="20">
        <v>44222</v>
      </c>
      <c r="B2470" s="503" t="s">
        <v>1834</v>
      </c>
      <c r="C2470" s="504"/>
      <c r="D2470" s="505"/>
      <c r="E2470" s="405">
        <v>126</v>
      </c>
      <c r="F2470" s="729">
        <v>2900</v>
      </c>
      <c r="G2470" s="680" t="s">
        <v>9</v>
      </c>
      <c r="H2470" s="680"/>
      <c r="I2470" s="295">
        <f>+'MILCON Inflation Table'!F15</f>
        <v>0.9813542688910698</v>
      </c>
      <c r="J2470" s="296"/>
      <c r="K2470" s="304">
        <f>+E2470*I2470</f>
        <v>123.6506378802748</v>
      </c>
      <c r="L2470" s="290" t="s">
        <v>9</v>
      </c>
      <c r="M2470" s="425"/>
      <c r="N2470" s="420"/>
      <c r="O2470" s="50"/>
      <c r="P2470" s="412"/>
      <c r="Q2470" s="391"/>
      <c r="R2470" s="393"/>
    </row>
    <row r="2471" spans="1:21" ht="30" customHeight="1" thickBot="1" x14ac:dyDescent="0.3">
      <c r="A2471" s="20"/>
      <c r="B2471" s="503"/>
      <c r="C2471" s="504"/>
      <c r="D2471" s="505"/>
      <c r="E2471" s="465"/>
      <c r="F2471" s="763"/>
      <c r="G2471" s="465"/>
      <c r="H2471" s="764"/>
      <c r="I2471" s="18"/>
      <c r="J2471" s="185" t="s">
        <v>358</v>
      </c>
      <c r="K2471" s="305">
        <f>AVERAGE(K2470:K2470)</f>
        <v>123.6506378802748</v>
      </c>
      <c r="L2471" s="290" t="s">
        <v>9</v>
      </c>
      <c r="M2471" s="419"/>
      <c r="N2471" s="420"/>
      <c r="O2471" s="43"/>
      <c r="P2471" s="412"/>
      <c r="Q2471" s="391"/>
      <c r="R2471" s="393"/>
    </row>
    <row r="2472" spans="1:21" ht="30" customHeight="1" thickBot="1" x14ac:dyDescent="0.3">
      <c r="A2472" s="76"/>
      <c r="B2472" s="77"/>
      <c r="C2472" s="77"/>
      <c r="D2472" s="77"/>
      <c r="E2472" s="77"/>
      <c r="F2472" s="77"/>
      <c r="G2472" s="77"/>
      <c r="H2472" s="77"/>
      <c r="I2472" s="77"/>
      <c r="J2472" s="77"/>
      <c r="K2472" s="77"/>
      <c r="L2472" s="78"/>
      <c r="M2472" s="419"/>
      <c r="N2472" s="420"/>
      <c r="O2472" s="43"/>
      <c r="P2472" s="412"/>
      <c r="Q2472" s="391"/>
      <c r="R2472" s="393"/>
    </row>
    <row r="2473" spans="1:21" ht="30" customHeight="1" x14ac:dyDescent="0.25">
      <c r="A2473" s="30" t="s">
        <v>288</v>
      </c>
      <c r="B2473" s="208">
        <v>4231</v>
      </c>
      <c r="C2473" s="282" t="s">
        <v>1835</v>
      </c>
      <c r="D2473" s="283"/>
      <c r="E2473" s="177" t="s">
        <v>291</v>
      </c>
      <c r="F2473" s="178" t="s">
        <v>6</v>
      </c>
      <c r="G2473" s="123" t="s">
        <v>375</v>
      </c>
      <c r="H2473" s="539">
        <v>14491</v>
      </c>
      <c r="I2473" s="177" t="s">
        <v>292</v>
      </c>
      <c r="J2473" s="488" t="s">
        <v>1504</v>
      </c>
      <c r="K2473" s="488"/>
      <c r="L2473" s="489"/>
      <c r="M2473" s="1368"/>
      <c r="N2473" s="1310"/>
      <c r="O2473"/>
      <c r="P2473" s="412"/>
      <c r="Q2473" s="391"/>
      <c r="R2473" s="393"/>
    </row>
    <row r="2474" spans="1:21" ht="30" customHeight="1" x14ac:dyDescent="0.25">
      <c r="A2474" s="48" t="s">
        <v>529</v>
      </c>
      <c r="B2474" s="394" t="s">
        <v>560</v>
      </c>
      <c r="C2474" s="395"/>
      <c r="D2474" s="396"/>
      <c r="E2474" s="397"/>
      <c r="F2474" s="397" t="s">
        <v>561</v>
      </c>
      <c r="G2474" s="398" t="s">
        <v>562</v>
      </c>
      <c r="H2474" s="399"/>
      <c r="I2474" s="181" t="s">
        <v>530</v>
      </c>
      <c r="J2474" s="181"/>
      <c r="K2474" s="288" t="s">
        <v>521</v>
      </c>
      <c r="L2474" s="289"/>
      <c r="M2474" s="419"/>
      <c r="N2474" s="420"/>
      <c r="O2474"/>
      <c r="P2474" s="412"/>
      <c r="Q2474" s="391"/>
      <c r="R2474" s="393"/>
    </row>
    <row r="2475" spans="1:21" ht="30" customHeight="1" x14ac:dyDescent="0.25">
      <c r="A2475" s="61" t="s">
        <v>634</v>
      </c>
      <c r="B2475" s="503" t="s">
        <v>636</v>
      </c>
      <c r="C2475" s="504"/>
      <c r="D2475" s="505"/>
      <c r="E2475" s="405">
        <v>115000</v>
      </c>
      <c r="F2475" s="20" t="s">
        <v>11</v>
      </c>
      <c r="G2475" s="522">
        <f>+H2473</f>
        <v>14491</v>
      </c>
      <c r="H2475" s="606" t="s">
        <v>1836</v>
      </c>
      <c r="I2475" s="20">
        <v>1.04</v>
      </c>
      <c r="J2475" s="20"/>
      <c r="K2475" s="405">
        <f>+E2475/G2475*I2475</f>
        <v>8.2533986612380108</v>
      </c>
      <c r="L2475" s="20" t="s">
        <v>6</v>
      </c>
      <c r="M2475" s="419"/>
      <c r="N2475" s="420"/>
      <c r="O2475"/>
      <c r="P2475" s="412"/>
      <c r="Q2475" s="391"/>
      <c r="R2475" s="393"/>
    </row>
    <row r="2476" spans="1:21" ht="30" customHeight="1" x14ac:dyDescent="0.25">
      <c r="A2476" s="61"/>
      <c r="B2476" s="410"/>
      <c r="C2476" s="410"/>
      <c r="D2476" s="410"/>
      <c r="E2476" s="405"/>
      <c r="F2476" s="338" t="s">
        <v>533</v>
      </c>
      <c r="G2476" s="339" t="s">
        <v>534</v>
      </c>
      <c r="H2476" s="339"/>
      <c r="I2476" s="339"/>
      <c r="J2476" s="339"/>
      <c r="K2476" s="751">
        <v>1.07</v>
      </c>
      <c r="L2476" s="10"/>
      <c r="M2476" s="419"/>
      <c r="N2476" s="420"/>
      <c r="O2476"/>
      <c r="P2476" s="412"/>
      <c r="Q2476" s="391"/>
      <c r="R2476" s="393"/>
    </row>
    <row r="2477" spans="1:21" ht="30" customHeight="1" x14ac:dyDescent="0.25">
      <c r="A2477" s="61"/>
      <c r="B2477" s="410"/>
      <c r="C2477" s="410"/>
      <c r="D2477" s="410"/>
      <c r="E2477" s="405"/>
      <c r="F2477" s="343"/>
      <c r="G2477" s="344" t="s">
        <v>535</v>
      </c>
      <c r="H2477" s="344"/>
      <c r="I2477" s="344"/>
      <c r="J2477" s="344"/>
      <c r="K2477" s="340">
        <v>1.02</v>
      </c>
      <c r="L2477" s="10"/>
      <c r="M2477" s="670"/>
      <c r="N2477" s="671"/>
      <c r="O2477" s="43"/>
      <c r="P2477" s="672"/>
      <c r="Q2477" s="671"/>
      <c r="R2477" s="673"/>
    </row>
    <row r="2478" spans="1:21" ht="30" customHeight="1" x14ac:dyDescent="0.25">
      <c r="A2478" s="61"/>
      <c r="B2478" s="20"/>
      <c r="C2478" s="18"/>
      <c r="D2478" s="18"/>
      <c r="E2478" s="18"/>
      <c r="F2478" s="18"/>
      <c r="G2478" s="18"/>
      <c r="H2478" s="18"/>
      <c r="I2478" s="18"/>
      <c r="J2478" s="20" t="s">
        <v>358</v>
      </c>
      <c r="K2478" s="23">
        <f>+K2475*K2476/K2477</f>
        <v>8.6579770269849714</v>
      </c>
      <c r="L2478" s="20" t="s">
        <v>6</v>
      </c>
      <c r="M2478" s="670"/>
      <c r="N2478" s="671"/>
      <c r="O2478" s="43"/>
      <c r="P2478" s="672"/>
      <c r="Q2478" s="671"/>
      <c r="R2478" s="673"/>
    </row>
    <row r="2479" spans="1:21" ht="30" customHeight="1" thickBot="1" x14ac:dyDescent="0.3">
      <c r="A2479" s="61"/>
      <c r="B2479" s="20"/>
      <c r="C2479" s="18"/>
      <c r="D2479" s="18"/>
      <c r="E2479" s="18"/>
      <c r="F2479" s="18"/>
      <c r="G2479" s="13"/>
      <c r="H2479" s="18"/>
      <c r="I2479" s="1245" t="s">
        <v>537</v>
      </c>
      <c r="J2479" s="361">
        <f>VLOOKUP(B2473,'Mil Cost Premiums for RUCs'!$A$4:$R$265,18,FALSE)</f>
        <v>1.0209999999999999</v>
      </c>
      <c r="K2479" s="23">
        <f>+K2478*J2479</f>
        <v>8.8397945445516548</v>
      </c>
      <c r="L2479" s="20" t="s">
        <v>6</v>
      </c>
      <c r="M2479" s="419"/>
      <c r="N2479" s="420"/>
      <c r="O2479"/>
      <c r="P2479" s="412"/>
      <c r="Q2479" s="391"/>
      <c r="R2479" s="393"/>
    </row>
    <row r="2480" spans="1:21" ht="30" customHeight="1" thickBot="1" x14ac:dyDescent="0.3">
      <c r="A2480" s="76"/>
      <c r="B2480" s="77"/>
      <c r="C2480" s="77"/>
      <c r="D2480" s="77"/>
      <c r="E2480" s="77"/>
      <c r="F2480" s="77"/>
      <c r="G2480" s="77"/>
      <c r="H2480" s="77"/>
      <c r="I2480" s="77"/>
      <c r="J2480" s="77"/>
      <c r="K2480" s="77"/>
      <c r="L2480" s="78"/>
      <c r="N2480" s="1108"/>
      <c r="O2480" s="1925"/>
      <c r="P2480" s="1925"/>
      <c r="Q2480" s="43"/>
      <c r="R2480" s="43"/>
      <c r="S2480" s="60"/>
      <c r="T2480" s="60"/>
      <c r="U2480" s="43"/>
    </row>
    <row r="2481" spans="1:21" ht="30" customHeight="1" x14ac:dyDescent="0.25">
      <c r="A2481" s="207" t="s">
        <v>288</v>
      </c>
      <c r="B2481" s="208">
        <v>4241</v>
      </c>
      <c r="C2481" s="282" t="s">
        <v>1837</v>
      </c>
      <c r="D2481" s="283"/>
      <c r="E2481" s="177" t="s">
        <v>291</v>
      </c>
      <c r="F2481" s="178" t="s">
        <v>9</v>
      </c>
      <c r="G2481" s="123" t="s">
        <v>375</v>
      </c>
      <c r="H2481" s="302">
        <v>1192</v>
      </c>
      <c r="I2481" s="177" t="s">
        <v>292</v>
      </c>
      <c r="J2481" s="38" t="s">
        <v>1838</v>
      </c>
      <c r="K2481" s="39"/>
      <c r="L2481" s="40"/>
      <c r="U2481" s="43"/>
    </row>
    <row r="2482" spans="1:21" ht="30" customHeight="1" x14ac:dyDescent="0.25">
      <c r="A2482" s="181" t="s">
        <v>517</v>
      </c>
      <c r="B2482" s="180" t="s">
        <v>295</v>
      </c>
      <c r="C2482" s="180"/>
      <c r="D2482" s="180"/>
      <c r="E2482" s="285" t="s">
        <v>519</v>
      </c>
      <c r="F2482" s="181" t="s">
        <v>518</v>
      </c>
      <c r="G2482" s="665" t="s">
        <v>2</v>
      </c>
      <c r="H2482" s="666"/>
      <c r="I2482" s="286" t="s">
        <v>520</v>
      </c>
      <c r="J2482" s="287"/>
      <c r="K2482" s="507" t="s">
        <v>521</v>
      </c>
      <c r="L2482" s="508"/>
      <c r="U2482" s="43"/>
    </row>
    <row r="2483" spans="1:21" s="49" customFormat="1" ht="30" customHeight="1" x14ac:dyDescent="0.25">
      <c r="A2483" s="20">
        <v>21850</v>
      </c>
      <c r="B2483" s="503" t="s">
        <v>1839</v>
      </c>
      <c r="C2483" s="504"/>
      <c r="D2483" s="505"/>
      <c r="E2483" s="405">
        <v>147</v>
      </c>
      <c r="F2483" s="729">
        <v>5000</v>
      </c>
      <c r="G2483" s="680" t="s">
        <v>9</v>
      </c>
      <c r="H2483" s="680"/>
      <c r="I2483" s="295">
        <f>+'MILCON Inflation Table'!$F$8</f>
        <v>1.2318227593152065</v>
      </c>
      <c r="J2483" s="296"/>
      <c r="K2483" s="304">
        <f>+E2483*I2483</f>
        <v>181.07794561933534</v>
      </c>
      <c r="L2483" s="290" t="s">
        <v>9</v>
      </c>
      <c r="M2483" s="502"/>
      <c r="N2483" s="502"/>
      <c r="O2483" s="27"/>
      <c r="P2483" s="50"/>
      <c r="Q2483" s="50"/>
      <c r="R2483" s="50"/>
      <c r="S2483" s="212"/>
      <c r="T2483" s="212"/>
    </row>
    <row r="2484" spans="1:21" ht="30" customHeight="1" x14ac:dyDescent="0.25">
      <c r="A2484" s="20">
        <v>43211</v>
      </c>
      <c r="B2484" s="523" t="s">
        <v>1840</v>
      </c>
      <c r="C2484" s="524"/>
      <c r="D2484" s="407"/>
      <c r="E2484" s="405">
        <v>242</v>
      </c>
      <c r="F2484" s="729">
        <v>6000</v>
      </c>
      <c r="G2484" s="680" t="s">
        <v>9</v>
      </c>
      <c r="H2484" s="680"/>
      <c r="I2484" s="295">
        <f>+'MILCON Inflation Table'!$F$8</f>
        <v>1.2318227593152065</v>
      </c>
      <c r="J2484" s="296"/>
      <c r="K2484" s="304">
        <f>+E2484*I2484</f>
        <v>298.10110775427995</v>
      </c>
      <c r="L2484" s="290" t="s">
        <v>9</v>
      </c>
      <c r="M2484" s="43"/>
      <c r="P2484" s="43"/>
      <c r="Q2484" s="43"/>
      <c r="R2484" s="43"/>
      <c r="S2484" s="60"/>
      <c r="T2484" s="60"/>
    </row>
    <row r="2485" spans="1:21" ht="30" customHeight="1" x14ac:dyDescent="0.25">
      <c r="A2485" s="20"/>
      <c r="B2485" s="523"/>
      <c r="C2485" s="524"/>
      <c r="D2485" s="407"/>
      <c r="E2485" s="682"/>
      <c r="F2485" s="1124"/>
      <c r="G2485" s="1125"/>
      <c r="H2485" s="1126"/>
      <c r="I2485" s="1252"/>
      <c r="J2485" s="1216" t="s">
        <v>536</v>
      </c>
      <c r="K2485" s="304">
        <f>AVERAGE(K2483:K2484)</f>
        <v>239.58952668680763</v>
      </c>
      <c r="L2485" s="290" t="s">
        <v>9</v>
      </c>
      <c r="N2485" s="342"/>
      <c r="O2485" s="42"/>
      <c r="P2485" s="41"/>
      <c r="Q2485" s="41"/>
      <c r="R2485" s="41"/>
      <c r="S2485" s="41"/>
      <c r="T2485" s="41"/>
      <c r="U2485" s="43"/>
    </row>
    <row r="2486" spans="1:21" ht="30" customHeight="1" thickBot="1" x14ac:dyDescent="0.3">
      <c r="A2486" s="20"/>
      <c r="B2486" s="503"/>
      <c r="C2486" s="504"/>
      <c r="D2486" s="505"/>
      <c r="E2486" s="465"/>
      <c r="F2486" s="763"/>
      <c r="G2486" s="465"/>
      <c r="H2486" s="764"/>
      <c r="I2486" s="18"/>
      <c r="J2486" s="185" t="s">
        <v>358</v>
      </c>
      <c r="K2486" s="305">
        <f>+K2485</f>
        <v>239.58952668680763</v>
      </c>
      <c r="L2486" s="290" t="s">
        <v>9</v>
      </c>
      <c r="U2486" s="43"/>
    </row>
    <row r="2487" spans="1:21" s="41" customFormat="1" ht="30" customHeight="1" thickBot="1" x14ac:dyDescent="0.3">
      <c r="A2487" s="76"/>
      <c r="B2487" s="77"/>
      <c r="C2487" s="77"/>
      <c r="D2487" s="77"/>
      <c r="E2487" s="77"/>
      <c r="F2487" s="77"/>
      <c r="G2487" s="77"/>
      <c r="H2487" s="77"/>
      <c r="I2487" s="77"/>
      <c r="J2487" s="77"/>
      <c r="K2487" s="77"/>
      <c r="L2487" s="78"/>
      <c r="M2487" s="341"/>
      <c r="N2487" s="25"/>
      <c r="O2487" s="27"/>
      <c r="P2487"/>
      <c r="Q2487"/>
      <c r="R2487"/>
      <c r="S2487"/>
      <c r="T2487"/>
    </row>
    <row r="2488" spans="1:21" s="49" customFormat="1" ht="30" customHeight="1" x14ac:dyDescent="0.25">
      <c r="A2488" s="306" t="s">
        <v>288</v>
      </c>
      <c r="B2488" s="418">
        <v>4251</v>
      </c>
      <c r="C2488" s="1253" t="s">
        <v>1841</v>
      </c>
      <c r="D2488" s="748"/>
      <c r="E2488" s="540" t="s">
        <v>291</v>
      </c>
      <c r="F2488" s="541" t="s">
        <v>3</v>
      </c>
      <c r="G2488" s="123" t="s">
        <v>375</v>
      </c>
      <c r="H2488" s="542">
        <v>1814</v>
      </c>
      <c r="I2488" s="540" t="s">
        <v>292</v>
      </c>
      <c r="J2488" s="38" t="s">
        <v>1504</v>
      </c>
      <c r="K2488" s="38"/>
      <c r="L2488" s="389"/>
      <c r="M2488" s="502"/>
      <c r="N2488" s="502"/>
      <c r="O2488" s="27"/>
      <c r="P2488" s="50"/>
      <c r="Q2488" s="50"/>
      <c r="R2488" s="50"/>
      <c r="S2488" s="212"/>
      <c r="T2488" s="212"/>
    </row>
    <row r="2489" spans="1:21" ht="30" customHeight="1" x14ac:dyDescent="0.25">
      <c r="A2489" s="695" t="s">
        <v>529</v>
      </c>
      <c r="B2489" s="543" t="s">
        <v>560</v>
      </c>
      <c r="C2489" s="544"/>
      <c r="D2489" s="545"/>
      <c r="E2489" s="546" t="s">
        <v>519</v>
      </c>
      <c r="F2489" s="546" t="s">
        <v>561</v>
      </c>
      <c r="G2489" s="547" t="s">
        <v>562</v>
      </c>
      <c r="H2489" s="548"/>
      <c r="I2489" s="424" t="s">
        <v>530</v>
      </c>
      <c r="J2489" s="424"/>
      <c r="K2489" s="288" t="s">
        <v>521</v>
      </c>
      <c r="L2489" s="289"/>
      <c r="M2489" s="43"/>
      <c r="P2489" s="43"/>
      <c r="Q2489" s="43"/>
      <c r="R2489" s="43"/>
      <c r="S2489" s="60"/>
      <c r="T2489" s="60"/>
    </row>
    <row r="2490" spans="1:21" ht="30" customHeight="1" x14ac:dyDescent="0.25">
      <c r="A2490" s="24" t="s">
        <v>574</v>
      </c>
      <c r="B2490" s="323" t="s">
        <v>1842</v>
      </c>
      <c r="C2490" s="324"/>
      <c r="D2490" s="325"/>
      <c r="E2490" s="405">
        <v>0.71</v>
      </c>
      <c r="F2490" s="10" t="s">
        <v>9</v>
      </c>
      <c r="G2490" s="1055">
        <v>9</v>
      </c>
      <c r="H2490" s="10" t="s">
        <v>1843</v>
      </c>
      <c r="I2490" s="10">
        <v>1.04</v>
      </c>
      <c r="J2490" s="10"/>
      <c r="K2490" s="326">
        <f>+E2490*I2490*G2490</f>
        <v>6.6456</v>
      </c>
      <c r="L2490" s="10" t="s">
        <v>3</v>
      </c>
      <c r="M2490" s="419"/>
      <c r="N2490" s="420"/>
      <c r="O2490"/>
      <c r="P2490" s="412"/>
      <c r="Q2490" s="391"/>
      <c r="R2490" s="393"/>
    </row>
    <row r="2491" spans="1:21" ht="30" customHeight="1" x14ac:dyDescent="0.25">
      <c r="A2491" s="24" t="s">
        <v>574</v>
      </c>
      <c r="B2491" s="346" t="s">
        <v>1844</v>
      </c>
      <c r="C2491" s="347"/>
      <c r="D2491" s="348"/>
      <c r="E2491" s="1092">
        <v>2.12</v>
      </c>
      <c r="F2491" s="10" t="s">
        <v>9</v>
      </c>
      <c r="G2491" s="1055">
        <v>9</v>
      </c>
      <c r="H2491" s="10" t="s">
        <v>1843</v>
      </c>
      <c r="I2491" s="10">
        <v>1.04</v>
      </c>
      <c r="J2491" s="10"/>
      <c r="K2491" s="326">
        <f>+E2491*I2491*G2491</f>
        <v>19.8432</v>
      </c>
      <c r="L2491" s="10" t="s">
        <v>3</v>
      </c>
      <c r="M2491" s="419"/>
      <c r="N2491" s="420"/>
      <c r="O2491"/>
      <c r="P2491" s="412"/>
      <c r="Q2491" s="391"/>
      <c r="R2491" s="393"/>
    </row>
    <row r="2492" spans="1:21" ht="30" customHeight="1" x14ac:dyDescent="0.25">
      <c r="A2492" s="24" t="s">
        <v>574</v>
      </c>
      <c r="B2492" s="323" t="s">
        <v>1845</v>
      </c>
      <c r="C2492" s="324"/>
      <c r="D2492" s="324"/>
      <c r="E2492" s="405">
        <v>3.75</v>
      </c>
      <c r="F2492" s="844" t="s">
        <v>9</v>
      </c>
      <c r="G2492" s="1055">
        <v>9</v>
      </c>
      <c r="H2492" s="10" t="s">
        <v>1843</v>
      </c>
      <c r="I2492" s="10">
        <v>1.04</v>
      </c>
      <c r="J2492" s="10"/>
      <c r="K2492" s="326">
        <f>+E2492*I2492*G2492</f>
        <v>35.1</v>
      </c>
      <c r="L2492" s="10" t="s">
        <v>3</v>
      </c>
      <c r="M2492" s="419"/>
      <c r="N2492" s="420"/>
      <c r="O2492"/>
      <c r="P2492" s="412"/>
      <c r="Q2492" s="391"/>
      <c r="R2492" s="393"/>
    </row>
    <row r="2493" spans="1:21" s="49" customFormat="1" ht="30" customHeight="1" x14ac:dyDescent="0.25">
      <c r="A2493" s="24"/>
      <c r="B2493" s="346"/>
      <c r="C2493" s="347"/>
      <c r="D2493" s="348"/>
      <c r="E2493" s="326"/>
      <c r="F2493" s="10"/>
      <c r="G2493" s="13"/>
      <c r="H2493" s="13"/>
      <c r="I2493" s="1068" t="s">
        <v>1846</v>
      </c>
      <c r="J2493" s="1070"/>
      <c r="K2493" s="429">
        <f>AVERAGE(K2491:K2492)</f>
        <v>27.471600000000002</v>
      </c>
      <c r="L2493" s="10" t="s">
        <v>3</v>
      </c>
      <c r="M2493" s="425"/>
      <c r="N2493" s="420"/>
      <c r="P2493" s="412"/>
      <c r="Q2493" s="391"/>
      <c r="R2493" s="393"/>
    </row>
    <row r="2494" spans="1:21" ht="30" customHeight="1" x14ac:dyDescent="0.25">
      <c r="A2494" s="24"/>
      <c r="B2494" s="1254"/>
      <c r="C2494" s="1255"/>
      <c r="D2494" s="1256"/>
      <c r="E2494" s="326"/>
      <c r="F2494" s="844"/>
      <c r="G2494" s="1055"/>
      <c r="H2494" s="10"/>
      <c r="I2494" s="10"/>
      <c r="J2494" s="10" t="s">
        <v>578</v>
      </c>
      <c r="K2494" s="326">
        <f>+K2493+K2490</f>
        <v>34.117200000000004</v>
      </c>
      <c r="L2494" s="10" t="s">
        <v>3</v>
      </c>
      <c r="M2494" s="419"/>
      <c r="N2494" s="420"/>
      <c r="O2494"/>
      <c r="P2494" s="412"/>
      <c r="Q2494" s="391"/>
      <c r="R2494" s="393"/>
    </row>
    <row r="2495" spans="1:21" ht="30" customHeight="1" x14ac:dyDescent="0.25">
      <c r="A2495" s="61"/>
      <c r="B2495" s="410"/>
      <c r="C2495" s="410"/>
      <c r="D2495" s="410"/>
      <c r="E2495" s="405"/>
      <c r="F2495" s="338" t="s">
        <v>533</v>
      </c>
      <c r="G2495" s="339" t="s">
        <v>534</v>
      </c>
      <c r="H2495" s="339"/>
      <c r="I2495" s="339"/>
      <c r="J2495" s="339"/>
      <c r="K2495" s="751">
        <v>1.07</v>
      </c>
      <c r="L2495" s="10"/>
      <c r="M2495" s="670"/>
      <c r="N2495" s="671"/>
      <c r="O2495" s="43"/>
      <c r="P2495" s="672"/>
      <c r="Q2495" s="671"/>
      <c r="R2495" s="673"/>
    </row>
    <row r="2496" spans="1:21" ht="30" customHeight="1" x14ac:dyDescent="0.25">
      <c r="A2496" s="61"/>
      <c r="B2496" s="410"/>
      <c r="C2496" s="410"/>
      <c r="D2496" s="410"/>
      <c r="E2496" s="405"/>
      <c r="F2496" s="343"/>
      <c r="G2496" s="344" t="s">
        <v>535</v>
      </c>
      <c r="H2496" s="344"/>
      <c r="I2496" s="344"/>
      <c r="J2496" s="344"/>
      <c r="K2496" s="340">
        <v>1.02</v>
      </c>
      <c r="L2496" s="10"/>
      <c r="M2496" s="670"/>
      <c r="N2496" s="671"/>
      <c r="O2496" s="43"/>
      <c r="P2496" s="672"/>
      <c r="Q2496" s="671"/>
      <c r="R2496" s="673"/>
    </row>
    <row r="2497" spans="1:21" ht="30" customHeight="1" x14ac:dyDescent="0.25">
      <c r="A2497" s="24"/>
      <c r="B2497" s="346"/>
      <c r="C2497" s="347"/>
      <c r="D2497" s="348"/>
      <c r="E2497" s="326"/>
      <c r="F2497" s="844"/>
      <c r="G2497" s="845"/>
      <c r="H2497" s="846"/>
      <c r="I2497" s="441" t="s">
        <v>358</v>
      </c>
      <c r="J2497" s="442"/>
      <c r="K2497" s="14">
        <f>+K2494*K2495/K2496</f>
        <v>35.789611764705889</v>
      </c>
      <c r="L2497" s="10" t="s">
        <v>3</v>
      </c>
      <c r="M2497" s="419"/>
      <c r="N2497" s="420"/>
      <c r="O2497"/>
      <c r="P2497" s="412"/>
      <c r="Q2497" s="391"/>
      <c r="R2497" s="393"/>
    </row>
    <row r="2498" spans="1:21" ht="30" customHeight="1" x14ac:dyDescent="0.25">
      <c r="A2498" s="24"/>
      <c r="B2498" s="1257"/>
      <c r="C2498" s="1258"/>
      <c r="D2498" s="922"/>
      <c r="E2498" s="326"/>
      <c r="F2498" s="844"/>
      <c r="G2498" s="556"/>
      <c r="H2498" s="846"/>
      <c r="I2498" s="1259" t="s">
        <v>652</v>
      </c>
      <c r="J2498" s="361">
        <f>VLOOKUP(B2488,'Mil Cost Premiums for RUCs'!$A$4:$R$265,18,FALSE)</f>
        <v>1.0905505199999999</v>
      </c>
      <c r="K2498" s="14">
        <f>+K2497*J2498</f>
        <v>39.03037972059812</v>
      </c>
      <c r="L2498" s="10" t="s">
        <v>3</v>
      </c>
      <c r="N2498" s="342"/>
      <c r="O2498" s="42"/>
      <c r="P2498" s="41"/>
      <c r="Q2498" s="41"/>
      <c r="R2498" s="41"/>
      <c r="S2498" s="41"/>
      <c r="T2498" s="41"/>
      <c r="U2498" s="43"/>
    </row>
    <row r="2499" spans="1:21" ht="75" customHeight="1" x14ac:dyDescent="0.25">
      <c r="A2499" s="580" t="s">
        <v>538</v>
      </c>
      <c r="B2499" s="532"/>
      <c r="C2499" s="532"/>
      <c r="D2499" s="532"/>
      <c r="E2499" s="532"/>
      <c r="F2499" s="532"/>
      <c r="G2499" s="532"/>
      <c r="H2499" s="532"/>
      <c r="I2499" s="532"/>
      <c r="J2499" s="532"/>
      <c r="K2499" s="532"/>
      <c r="L2499" s="533"/>
      <c r="U2499" s="43"/>
    </row>
    <row r="2500" spans="1:21" s="41" customFormat="1" ht="30" customHeight="1" x14ac:dyDescent="0.25">
      <c r="A2500" s="1044" t="s">
        <v>539</v>
      </c>
      <c r="B2500" s="1045"/>
      <c r="C2500" s="1046"/>
      <c r="D2500" s="386" t="s">
        <v>1847</v>
      </c>
      <c r="E2500" s="849"/>
      <c r="F2500" s="849"/>
      <c r="G2500" s="849"/>
      <c r="H2500" s="849"/>
      <c r="I2500" s="849"/>
      <c r="J2500" s="849"/>
      <c r="K2500" s="849"/>
      <c r="L2500" s="850"/>
      <c r="M2500" s="341"/>
      <c r="N2500" s="25"/>
      <c r="O2500" s="27"/>
      <c r="P2500"/>
      <c r="Q2500"/>
      <c r="R2500"/>
      <c r="S2500"/>
      <c r="T2500"/>
    </row>
    <row r="2501" spans="1:21" s="49" customFormat="1" ht="30" customHeight="1" x14ac:dyDescent="0.25">
      <c r="A2501" s="1044" t="s">
        <v>541</v>
      </c>
      <c r="B2501" s="1045"/>
      <c r="C2501" s="1046"/>
      <c r="D2501" s="386" t="s">
        <v>1848</v>
      </c>
      <c r="E2501" s="849"/>
      <c r="F2501" s="849"/>
      <c r="G2501" s="849"/>
      <c r="H2501" s="849"/>
      <c r="I2501" s="849"/>
      <c r="J2501" s="849"/>
      <c r="K2501" s="849"/>
      <c r="L2501" s="850"/>
      <c r="M2501" s="502"/>
      <c r="N2501" s="502"/>
      <c r="O2501" s="27"/>
    </row>
    <row r="2502" spans="1:21" s="41" customFormat="1" ht="30" customHeight="1" x14ac:dyDescent="0.25">
      <c r="A2502" s="1044" t="s">
        <v>543</v>
      </c>
      <c r="B2502" s="1045"/>
      <c r="C2502" s="1046"/>
      <c r="D2502" s="386" t="s">
        <v>1849</v>
      </c>
      <c r="E2502" s="849"/>
      <c r="F2502" s="849"/>
      <c r="G2502" s="849"/>
      <c r="H2502" s="849"/>
      <c r="I2502" s="849"/>
      <c r="J2502" s="849"/>
      <c r="K2502" s="849"/>
      <c r="L2502" s="850"/>
      <c r="M2502" s="341"/>
      <c r="N2502" s="25"/>
      <c r="O2502" s="27"/>
      <c r="P2502"/>
      <c r="Q2502"/>
      <c r="R2502"/>
      <c r="S2502"/>
      <c r="T2502"/>
    </row>
    <row r="2503" spans="1:21" ht="30" customHeight="1" x14ac:dyDescent="0.25">
      <c r="A2503" s="1044" t="s">
        <v>546</v>
      </c>
      <c r="B2503" s="1045"/>
      <c r="C2503" s="1046"/>
      <c r="D2503" s="386" t="s">
        <v>1850</v>
      </c>
      <c r="E2503" s="849"/>
      <c r="F2503" s="849"/>
      <c r="G2503" s="849"/>
      <c r="H2503" s="849"/>
      <c r="I2503" s="849"/>
      <c r="J2503" s="849"/>
      <c r="K2503" s="849"/>
      <c r="L2503" s="850"/>
      <c r="P2503" s="43"/>
      <c r="Q2503" s="43"/>
      <c r="R2503" s="43"/>
      <c r="S2503" s="60"/>
      <c r="T2503" s="60"/>
    </row>
    <row r="2504" spans="1:21" ht="30" customHeight="1" x14ac:dyDescent="0.25">
      <c r="A2504" s="1044" t="s">
        <v>548</v>
      </c>
      <c r="B2504" s="1045"/>
      <c r="C2504" s="1046"/>
      <c r="D2504" s="386" t="s">
        <v>1851</v>
      </c>
      <c r="E2504" s="849"/>
      <c r="F2504" s="849"/>
      <c r="G2504" s="849"/>
      <c r="H2504" s="849"/>
      <c r="I2504" s="849"/>
      <c r="J2504" s="849"/>
      <c r="K2504" s="849"/>
      <c r="L2504" s="850"/>
      <c r="M2504" s="43"/>
      <c r="P2504" s="43"/>
      <c r="Q2504" s="43"/>
      <c r="R2504" s="43"/>
      <c r="S2504" s="60"/>
      <c r="T2504" s="60"/>
    </row>
    <row r="2505" spans="1:21" ht="30" customHeight="1" x14ac:dyDescent="0.25">
      <c r="A2505" s="1044" t="s">
        <v>550</v>
      </c>
      <c r="B2505" s="1045"/>
      <c r="C2505" s="1046"/>
      <c r="D2505" s="386" t="s">
        <v>551</v>
      </c>
      <c r="E2505" s="849"/>
      <c r="F2505" s="849"/>
      <c r="G2505" s="849"/>
      <c r="H2505" s="849"/>
      <c r="I2505" s="849"/>
      <c r="J2505" s="849"/>
      <c r="K2505" s="849"/>
      <c r="L2505" s="850"/>
      <c r="M2505" s="419"/>
      <c r="N2505" s="420"/>
      <c r="O2505"/>
      <c r="P2505" s="412"/>
      <c r="Q2505" s="391"/>
      <c r="R2505" s="393"/>
    </row>
    <row r="2506" spans="1:21" ht="30" customHeight="1" x14ac:dyDescent="0.25">
      <c r="A2506" s="1044" t="s">
        <v>552</v>
      </c>
      <c r="B2506" s="1045"/>
      <c r="C2506" s="1046"/>
      <c r="D2506" s="386" t="s">
        <v>1852</v>
      </c>
      <c r="E2506" s="849"/>
      <c r="F2506" s="849"/>
      <c r="G2506" s="849"/>
      <c r="H2506" s="849"/>
      <c r="I2506" s="849"/>
      <c r="J2506" s="849"/>
      <c r="K2506" s="849"/>
      <c r="L2506" s="850"/>
      <c r="M2506" s="419"/>
      <c r="N2506" s="420"/>
      <c r="O2506"/>
      <c r="P2506" s="412"/>
      <c r="Q2506" s="391"/>
      <c r="R2506" s="393"/>
    </row>
    <row r="2507" spans="1:21" ht="45" customHeight="1" x14ac:dyDescent="0.25">
      <c r="A2507" s="1044" t="s">
        <v>553</v>
      </c>
      <c r="B2507" s="1045"/>
      <c r="C2507" s="1046"/>
      <c r="D2507" s="386" t="s">
        <v>1853</v>
      </c>
      <c r="E2507" s="849"/>
      <c r="F2507" s="849"/>
      <c r="G2507" s="849"/>
      <c r="H2507" s="849"/>
      <c r="I2507" s="849"/>
      <c r="J2507" s="849"/>
      <c r="K2507" s="849"/>
      <c r="L2507" s="850"/>
      <c r="M2507" s="419"/>
      <c r="N2507" s="420"/>
      <c r="O2507"/>
      <c r="P2507" s="412"/>
      <c r="Q2507" s="391"/>
      <c r="R2507" s="393"/>
    </row>
    <row r="2508" spans="1:21" s="49" customFormat="1" ht="30" customHeight="1" thickBot="1" x14ac:dyDescent="0.3">
      <c r="A2508" s="1044" t="s">
        <v>556</v>
      </c>
      <c r="B2508" s="1045"/>
      <c r="C2508" s="1046"/>
      <c r="D2508" s="386" t="s">
        <v>1854</v>
      </c>
      <c r="E2508" s="849"/>
      <c r="F2508" s="849"/>
      <c r="G2508" s="849"/>
      <c r="H2508" s="849"/>
      <c r="I2508" s="849"/>
      <c r="J2508" s="849"/>
      <c r="K2508" s="849"/>
      <c r="L2508" s="850"/>
      <c r="M2508" s="425"/>
      <c r="N2508" s="420"/>
      <c r="P2508" s="412"/>
      <c r="Q2508" s="391"/>
      <c r="R2508" s="393"/>
    </row>
    <row r="2509" spans="1:21" ht="30" customHeight="1" thickBot="1" x14ac:dyDescent="0.3">
      <c r="A2509" s="76"/>
      <c r="B2509" s="77"/>
      <c r="C2509" s="77"/>
      <c r="D2509" s="77"/>
      <c r="E2509" s="77"/>
      <c r="F2509" s="77"/>
      <c r="G2509" s="77"/>
      <c r="H2509" s="77"/>
      <c r="I2509" s="77"/>
      <c r="J2509" s="77"/>
      <c r="K2509" s="77"/>
      <c r="L2509" s="78"/>
      <c r="M2509" s="419"/>
      <c r="N2509" s="420"/>
      <c r="O2509"/>
      <c r="P2509" s="412"/>
      <c r="Q2509" s="391"/>
      <c r="R2509" s="393"/>
    </row>
    <row r="2510" spans="1:21" ht="30" customHeight="1" x14ac:dyDescent="0.25">
      <c r="A2510" s="30" t="s">
        <v>288</v>
      </c>
      <c r="B2510" s="208">
        <v>4311</v>
      </c>
      <c r="C2510" s="209" t="s">
        <v>1855</v>
      </c>
      <c r="D2510" s="210"/>
      <c r="E2510" s="177" t="s">
        <v>291</v>
      </c>
      <c r="F2510" s="178" t="s">
        <v>9</v>
      </c>
      <c r="G2510" s="123" t="s">
        <v>375</v>
      </c>
      <c r="H2510" s="539">
        <v>67724</v>
      </c>
      <c r="I2510" s="177" t="s">
        <v>292</v>
      </c>
      <c r="J2510" s="38" t="s">
        <v>1504</v>
      </c>
      <c r="K2510" s="38"/>
      <c r="L2510" s="389"/>
      <c r="M2510" s="380"/>
      <c r="N2510" s="1273"/>
      <c r="O2510"/>
      <c r="P2510" s="412"/>
      <c r="Q2510" s="391"/>
      <c r="R2510" s="393"/>
    </row>
    <row r="2511" spans="1:21" ht="30" customHeight="1" x14ac:dyDescent="0.25">
      <c r="A2511" s="48" t="s">
        <v>529</v>
      </c>
      <c r="B2511" s="394" t="s">
        <v>560</v>
      </c>
      <c r="C2511" s="395"/>
      <c r="D2511" s="396"/>
      <c r="E2511" s="397" t="s">
        <v>519</v>
      </c>
      <c r="F2511" s="397" t="s">
        <v>561</v>
      </c>
      <c r="G2511" s="398" t="s">
        <v>562</v>
      </c>
      <c r="H2511" s="399"/>
      <c r="I2511" s="181" t="s">
        <v>530</v>
      </c>
      <c r="J2511" s="181"/>
      <c r="K2511" s="288" t="s">
        <v>521</v>
      </c>
      <c r="L2511" s="289"/>
      <c r="M2511" s="380"/>
      <c r="N2511" s="1273"/>
      <c r="O2511"/>
      <c r="P2511" s="412"/>
      <c r="Q2511" s="391"/>
      <c r="R2511" s="393"/>
    </row>
    <row r="2512" spans="1:21" ht="30" customHeight="1" x14ac:dyDescent="0.25">
      <c r="A2512" s="61" t="s">
        <v>1856</v>
      </c>
      <c r="B2512" s="503" t="s">
        <v>1857</v>
      </c>
      <c r="C2512" s="504"/>
      <c r="D2512" s="505"/>
      <c r="E2512" s="405">
        <v>79.39</v>
      </c>
      <c r="F2512" s="20" t="s">
        <v>9</v>
      </c>
      <c r="G2512" s="522"/>
      <c r="H2512" s="20"/>
      <c r="I2512" s="20">
        <v>1.06</v>
      </c>
      <c r="J2512" s="20"/>
      <c r="K2512" s="405">
        <f>+E2512*I2512</f>
        <v>84.153400000000005</v>
      </c>
      <c r="L2512" s="20" t="s">
        <v>9</v>
      </c>
      <c r="M2512" s="419"/>
      <c r="N2512" s="420"/>
      <c r="O2512"/>
      <c r="P2512" s="412"/>
      <c r="Q2512" s="391"/>
      <c r="R2512" s="393"/>
    </row>
    <row r="2513" spans="1:18" ht="30" customHeight="1" x14ac:dyDescent="0.25">
      <c r="A2513" s="61" t="s">
        <v>1856</v>
      </c>
      <c r="B2513" s="402" t="s">
        <v>1858</v>
      </c>
      <c r="C2513" s="403"/>
      <c r="D2513" s="404"/>
      <c r="E2513" s="1092">
        <v>21.05</v>
      </c>
      <c r="F2513" s="20" t="s">
        <v>9</v>
      </c>
      <c r="G2513" s="1098"/>
      <c r="H2513" s="754"/>
      <c r="I2513" s="20">
        <v>1.06</v>
      </c>
      <c r="J2513" s="20"/>
      <c r="K2513" s="405">
        <f>+E2513*I2513</f>
        <v>22.313000000000002</v>
      </c>
      <c r="L2513" s="20" t="s">
        <v>9</v>
      </c>
      <c r="M2513" s="419"/>
      <c r="N2513" s="420"/>
      <c r="O2513"/>
      <c r="P2513" s="412"/>
      <c r="Q2513" s="391"/>
      <c r="R2513" s="393"/>
    </row>
    <row r="2514" spans="1:18" ht="30" customHeight="1" x14ac:dyDescent="0.25">
      <c r="A2514" s="61" t="s">
        <v>644</v>
      </c>
      <c r="B2514" s="503" t="s">
        <v>1859</v>
      </c>
      <c r="C2514" s="504"/>
      <c r="D2514" s="504"/>
      <c r="E2514" s="405">
        <v>2.93</v>
      </c>
      <c r="F2514" s="20" t="s">
        <v>9</v>
      </c>
      <c r="G2514" s="838"/>
      <c r="H2514" s="754"/>
      <c r="I2514" s="20">
        <v>1.06</v>
      </c>
      <c r="J2514" s="20"/>
      <c r="K2514" s="405">
        <f>+E2514*I2514</f>
        <v>3.1058000000000003</v>
      </c>
      <c r="L2514" s="20" t="s">
        <v>9</v>
      </c>
      <c r="M2514" s="670"/>
      <c r="N2514" s="671"/>
      <c r="O2514" s="43"/>
      <c r="P2514" s="672"/>
      <c r="Q2514" s="671"/>
      <c r="R2514" s="673"/>
    </row>
    <row r="2515" spans="1:18" ht="30" customHeight="1" x14ac:dyDescent="0.25">
      <c r="A2515" s="61"/>
      <c r="B2515" s="402"/>
      <c r="C2515" s="403"/>
      <c r="D2515" s="404"/>
      <c r="E2515" s="405"/>
      <c r="F2515" s="730"/>
      <c r="G2515" s="838"/>
      <c r="H2515" s="754"/>
      <c r="I2515" s="20"/>
      <c r="J2515" s="20" t="s">
        <v>578</v>
      </c>
      <c r="K2515" s="405">
        <f>SUM(K2512:K2514)</f>
        <v>109.57220000000001</v>
      </c>
      <c r="L2515" s="20" t="s">
        <v>9</v>
      </c>
      <c r="M2515" s="670"/>
      <c r="N2515" s="671"/>
      <c r="O2515" s="43"/>
      <c r="P2515" s="672"/>
      <c r="Q2515" s="671"/>
      <c r="R2515" s="673"/>
    </row>
    <row r="2516" spans="1:18" ht="30" customHeight="1" x14ac:dyDescent="0.25">
      <c r="A2516" s="61"/>
      <c r="B2516" s="410"/>
      <c r="C2516" s="410"/>
      <c r="D2516" s="410"/>
      <c r="E2516" s="405"/>
      <c r="F2516" s="338" t="s">
        <v>533</v>
      </c>
      <c r="G2516" s="339" t="s">
        <v>534</v>
      </c>
      <c r="H2516" s="339"/>
      <c r="I2516" s="339"/>
      <c r="J2516" s="339"/>
      <c r="K2516" s="751">
        <v>1.0900000000000001</v>
      </c>
      <c r="L2516" s="10"/>
      <c r="M2516" s="419"/>
      <c r="N2516" s="420"/>
      <c r="O2516"/>
      <c r="P2516" s="412"/>
      <c r="Q2516" s="391"/>
      <c r="R2516" s="393"/>
    </row>
    <row r="2517" spans="1:18" ht="30" customHeight="1" x14ac:dyDescent="0.25">
      <c r="A2517" s="61"/>
      <c r="B2517" s="410"/>
      <c r="C2517" s="410"/>
      <c r="D2517" s="410"/>
      <c r="E2517" s="405"/>
      <c r="F2517" s="343"/>
      <c r="G2517" s="344" t="s">
        <v>535</v>
      </c>
      <c r="H2517" s="344"/>
      <c r="I2517" s="344"/>
      <c r="J2517" s="344"/>
      <c r="K2517" s="340">
        <v>1.02</v>
      </c>
      <c r="L2517" s="10"/>
      <c r="M2517" s="419"/>
      <c r="N2517" s="420"/>
      <c r="O2517"/>
      <c r="P2517" s="412"/>
      <c r="Q2517" s="391"/>
      <c r="R2517" s="393"/>
    </row>
    <row r="2518" spans="1:18" ht="30" customHeight="1" x14ac:dyDescent="0.25">
      <c r="A2518" s="61"/>
      <c r="B2518" s="20"/>
      <c r="C2518" s="18"/>
      <c r="D2518" s="18"/>
      <c r="E2518" s="18"/>
      <c r="F2518" s="18"/>
      <c r="G2518" s="18"/>
      <c r="H2518" s="18"/>
      <c r="I2518" s="556"/>
      <c r="J2518" s="20" t="s">
        <v>358</v>
      </c>
      <c r="K2518" s="23">
        <f>+K2515*K2516/K2517</f>
        <v>117.09186078431374</v>
      </c>
      <c r="L2518" s="20" t="s">
        <v>9</v>
      </c>
      <c r="M2518" s="419"/>
      <c r="N2518" s="420"/>
      <c r="O2518"/>
      <c r="P2518" s="412"/>
      <c r="Q2518" s="391"/>
      <c r="R2518" s="393"/>
    </row>
    <row r="2519" spans="1:18" ht="30" customHeight="1" thickBot="1" x14ac:dyDescent="0.3">
      <c r="A2519" s="61"/>
      <c r="B2519" s="20"/>
      <c r="C2519" s="18"/>
      <c r="D2519" s="18"/>
      <c r="E2519" s="18"/>
      <c r="F2519" s="18"/>
      <c r="G2519" s="413" t="s">
        <v>537</v>
      </c>
      <c r="H2519" s="18"/>
      <c r="I2519" s="18"/>
      <c r="J2519" s="361">
        <f>VLOOKUP(B2510,'Mil Cost Premiums for RUCs'!$A$4:$R$265,18,FALSE)</f>
        <v>1.168693068754227</v>
      </c>
      <c r="K2519" s="23">
        <f>+K2518*J2519</f>
        <v>136.84444610616234</v>
      </c>
      <c r="L2519" s="20" t="s">
        <v>9</v>
      </c>
      <c r="M2519" s="419"/>
      <c r="N2519" s="420"/>
      <c r="O2519"/>
      <c r="P2519" s="412"/>
      <c r="Q2519" s="391"/>
      <c r="R2519" s="393"/>
    </row>
    <row r="2520" spans="1:18" ht="30" customHeight="1" thickBot="1" x14ac:dyDescent="0.3">
      <c r="A2520" s="76"/>
      <c r="B2520" s="77"/>
      <c r="C2520" s="77"/>
      <c r="D2520" s="77"/>
      <c r="E2520" s="77"/>
      <c r="F2520" s="77"/>
      <c r="G2520" s="77"/>
      <c r="H2520" s="77"/>
      <c r="I2520" s="77"/>
      <c r="J2520" s="77"/>
      <c r="K2520" s="77"/>
      <c r="L2520" s="78"/>
      <c r="M2520" s="419"/>
      <c r="N2520" s="420"/>
      <c r="O2520"/>
      <c r="P2520" s="412"/>
      <c r="Q2520" s="391"/>
      <c r="R2520" s="393"/>
    </row>
    <row r="2521" spans="1:18" ht="30" customHeight="1" x14ac:dyDescent="0.25">
      <c r="A2521" s="30" t="s">
        <v>288</v>
      </c>
      <c r="B2521" s="208">
        <v>4321</v>
      </c>
      <c r="C2521" s="209" t="s">
        <v>1860</v>
      </c>
      <c r="D2521" s="210"/>
      <c r="E2521" s="177" t="s">
        <v>291</v>
      </c>
      <c r="F2521" s="178" t="s">
        <v>9</v>
      </c>
      <c r="G2521" s="123" t="s">
        <v>375</v>
      </c>
      <c r="H2521" s="539">
        <v>41385</v>
      </c>
      <c r="I2521" s="177" t="s">
        <v>292</v>
      </c>
      <c r="J2521" s="747" t="s">
        <v>1346</v>
      </c>
      <c r="K2521" s="747"/>
      <c r="L2521" s="748"/>
      <c r="M2521" s="380"/>
      <c r="N2521" s="1273"/>
      <c r="O2521"/>
      <c r="P2521" s="412"/>
      <c r="Q2521" s="391"/>
      <c r="R2521" s="393"/>
    </row>
    <row r="2522" spans="1:18" ht="30" customHeight="1" x14ac:dyDescent="0.25">
      <c r="A2522" s="48" t="s">
        <v>529</v>
      </c>
      <c r="B2522" s="394" t="s">
        <v>560</v>
      </c>
      <c r="C2522" s="395"/>
      <c r="D2522" s="396"/>
      <c r="E2522" s="397" t="s">
        <v>519</v>
      </c>
      <c r="F2522" s="397" t="s">
        <v>561</v>
      </c>
      <c r="G2522" s="398" t="s">
        <v>562</v>
      </c>
      <c r="H2522" s="399"/>
      <c r="I2522" s="181" t="s">
        <v>530</v>
      </c>
      <c r="J2522" s="181"/>
      <c r="K2522" s="288" t="s">
        <v>521</v>
      </c>
      <c r="L2522" s="289"/>
      <c r="M2522" s="380"/>
      <c r="N2522" s="1273"/>
      <c r="O2522"/>
      <c r="P2522" s="412"/>
      <c r="Q2522" s="391"/>
      <c r="R2522" s="393"/>
    </row>
    <row r="2523" spans="1:18" ht="30" customHeight="1" x14ac:dyDescent="0.25">
      <c r="A2523" s="61" t="s">
        <v>1856</v>
      </c>
      <c r="B2523" s="503" t="s">
        <v>1857</v>
      </c>
      <c r="C2523" s="504"/>
      <c r="D2523" s="505"/>
      <c r="E2523" s="405">
        <v>79.39</v>
      </c>
      <c r="F2523" s="20" t="s">
        <v>9</v>
      </c>
      <c r="G2523" s="522"/>
      <c r="H2523" s="20"/>
      <c r="I2523" s="20">
        <v>1.06</v>
      </c>
      <c r="J2523" s="20"/>
      <c r="K2523" s="405">
        <f>+E2523*I2523</f>
        <v>84.153400000000005</v>
      </c>
      <c r="L2523" s="20" t="s">
        <v>9</v>
      </c>
      <c r="O2523"/>
      <c r="P2523" s="412"/>
      <c r="Q2523" s="391"/>
      <c r="R2523" s="393"/>
    </row>
    <row r="2524" spans="1:18" ht="30" customHeight="1" x14ac:dyDescent="0.25">
      <c r="A2524" s="61" t="s">
        <v>1856</v>
      </c>
      <c r="B2524" s="402" t="s">
        <v>1861</v>
      </c>
      <c r="C2524" s="403"/>
      <c r="D2524" s="404"/>
      <c r="E2524" s="1092">
        <v>13.2</v>
      </c>
      <c r="F2524" s="20" t="s">
        <v>9</v>
      </c>
      <c r="G2524" s="1098"/>
      <c r="H2524" s="754"/>
      <c r="I2524" s="20">
        <v>1.06</v>
      </c>
      <c r="J2524" s="20"/>
      <c r="K2524" s="405">
        <f>+E2524*I2524</f>
        <v>13.991999999999999</v>
      </c>
      <c r="L2524" s="20" t="s">
        <v>9</v>
      </c>
      <c r="O2524"/>
      <c r="P2524" s="412"/>
      <c r="Q2524" s="391"/>
      <c r="R2524" s="393"/>
    </row>
    <row r="2525" spans="1:18" ht="30" customHeight="1" x14ac:dyDescent="0.25">
      <c r="A2525" s="61" t="s">
        <v>644</v>
      </c>
      <c r="B2525" s="503" t="s">
        <v>1862</v>
      </c>
      <c r="C2525" s="504"/>
      <c r="D2525" s="504"/>
      <c r="E2525" s="405">
        <v>3.15</v>
      </c>
      <c r="F2525" s="20" t="s">
        <v>9</v>
      </c>
      <c r="G2525" s="838"/>
      <c r="H2525" s="754"/>
      <c r="I2525" s="20">
        <v>1.06</v>
      </c>
      <c r="J2525" s="20"/>
      <c r="K2525" s="405">
        <f>+E2525*I2525</f>
        <v>3.339</v>
      </c>
      <c r="L2525" s="20" t="s">
        <v>9</v>
      </c>
      <c r="M2525" s="419"/>
      <c r="N2525" s="420"/>
      <c r="O2525"/>
      <c r="P2525" s="412"/>
      <c r="Q2525" s="391"/>
      <c r="R2525" s="393"/>
    </row>
    <row r="2526" spans="1:18" ht="30" customHeight="1" x14ac:dyDescent="0.25">
      <c r="A2526" s="61"/>
      <c r="B2526" s="402"/>
      <c r="C2526" s="403"/>
      <c r="D2526" s="404"/>
      <c r="E2526" s="405"/>
      <c r="F2526" s="730"/>
      <c r="G2526" s="838"/>
      <c r="H2526" s="754"/>
      <c r="I2526" s="20"/>
      <c r="J2526" s="20" t="s">
        <v>578</v>
      </c>
      <c r="K2526" s="405">
        <f>SUM(K2523:K2525)</f>
        <v>101.48440000000001</v>
      </c>
      <c r="L2526" s="20" t="s">
        <v>9</v>
      </c>
      <c r="M2526" s="419"/>
      <c r="N2526" s="420"/>
      <c r="O2526"/>
      <c r="P2526" s="412"/>
      <c r="Q2526" s="391"/>
      <c r="R2526" s="393"/>
    </row>
    <row r="2527" spans="1:18" ht="30" customHeight="1" x14ac:dyDescent="0.25">
      <c r="A2527" s="61"/>
      <c r="B2527" s="410"/>
      <c r="C2527" s="410"/>
      <c r="D2527" s="410"/>
      <c r="E2527" s="405"/>
      <c r="F2527" s="338" t="s">
        <v>533</v>
      </c>
      <c r="G2527" s="339" t="s">
        <v>534</v>
      </c>
      <c r="H2527" s="339"/>
      <c r="I2527" s="339"/>
      <c r="J2527" s="339"/>
      <c r="K2527" s="751">
        <v>1.0900000000000001</v>
      </c>
      <c r="L2527" s="10"/>
      <c r="M2527" s="419"/>
      <c r="N2527" s="420"/>
      <c r="O2527"/>
      <c r="P2527" s="412"/>
      <c r="Q2527" s="391"/>
      <c r="R2527" s="393"/>
    </row>
    <row r="2528" spans="1:18" ht="30" customHeight="1" x14ac:dyDescent="0.25">
      <c r="A2528" s="61"/>
      <c r="B2528" s="410"/>
      <c r="C2528" s="410"/>
      <c r="D2528" s="410"/>
      <c r="E2528" s="405"/>
      <c r="F2528" s="343"/>
      <c r="G2528" s="344" t="s">
        <v>535</v>
      </c>
      <c r="H2528" s="344"/>
      <c r="I2528" s="344"/>
      <c r="J2528" s="344"/>
      <c r="K2528" s="340">
        <v>1.02</v>
      </c>
      <c r="L2528" s="10"/>
      <c r="M2528" s="419"/>
      <c r="N2528" s="420"/>
      <c r="O2528"/>
      <c r="P2528" s="412"/>
      <c r="Q2528" s="391"/>
      <c r="R2528" s="393"/>
    </row>
    <row r="2529" spans="1:18" ht="30" customHeight="1" x14ac:dyDescent="0.25">
      <c r="A2529" s="61"/>
      <c r="B2529" s="20"/>
      <c r="C2529" s="18"/>
      <c r="D2529" s="18"/>
      <c r="E2529" s="18"/>
      <c r="F2529" s="18"/>
      <c r="G2529" s="18"/>
      <c r="H2529" s="18"/>
      <c r="I2529" s="18"/>
      <c r="J2529" s="18" t="s">
        <v>358</v>
      </c>
      <c r="K2529" s="23">
        <f>+K2526*K2527/K2528</f>
        <v>108.44901568627452</v>
      </c>
      <c r="L2529" s="20" t="s">
        <v>9</v>
      </c>
      <c r="O2529"/>
      <c r="P2529" s="412"/>
      <c r="Q2529" s="391"/>
      <c r="R2529" s="393"/>
    </row>
    <row r="2530" spans="1:18" s="49" customFormat="1" ht="30" customHeight="1" thickBot="1" x14ac:dyDescent="0.3">
      <c r="A2530" s="61"/>
      <c r="B2530" s="20"/>
      <c r="C2530" s="18"/>
      <c r="D2530" s="18"/>
      <c r="E2530" s="18"/>
      <c r="F2530" s="18"/>
      <c r="G2530" s="13"/>
      <c r="H2530" s="18"/>
      <c r="I2530" s="1245" t="s">
        <v>537</v>
      </c>
      <c r="J2530" s="361">
        <f>VLOOKUP(B2521,'Mil Cost Premiums for RUCs'!$A$4:$R$265,18,FALSE)</f>
        <v>1.1651974763252515</v>
      </c>
      <c r="K2530" s="23">
        <f>+K2529*J2530</f>
        <v>126.36451938760469</v>
      </c>
      <c r="L2530" s="20" t="s">
        <v>9</v>
      </c>
      <c r="M2530" s="502"/>
      <c r="N2530" s="502"/>
      <c r="P2530" s="412"/>
      <c r="Q2530" s="391"/>
      <c r="R2530" s="393"/>
    </row>
    <row r="2531" spans="1:18" ht="30" customHeight="1" thickBot="1" x14ac:dyDescent="0.3">
      <c r="A2531" s="76"/>
      <c r="B2531" s="77"/>
      <c r="C2531" s="77"/>
      <c r="D2531" s="77"/>
      <c r="E2531" s="77"/>
      <c r="F2531" s="77"/>
      <c r="G2531" s="77"/>
      <c r="H2531" s="77"/>
      <c r="I2531" s="77"/>
      <c r="J2531" s="77"/>
      <c r="K2531" s="77"/>
      <c r="L2531" s="78"/>
      <c r="M2531" s="419"/>
      <c r="N2531" s="420"/>
      <c r="O2531"/>
      <c r="P2531" s="412"/>
      <c r="Q2531" s="391"/>
      <c r="R2531" s="393"/>
    </row>
    <row r="2532" spans="1:18" ht="30" customHeight="1" x14ac:dyDescent="0.25">
      <c r="A2532" s="30" t="s">
        <v>288</v>
      </c>
      <c r="B2532" s="208">
        <v>4411</v>
      </c>
      <c r="C2532" s="282" t="s">
        <v>1863</v>
      </c>
      <c r="D2532" s="283"/>
      <c r="E2532" s="177" t="s">
        <v>291</v>
      </c>
      <c r="F2532" s="178" t="s">
        <v>9</v>
      </c>
      <c r="G2532" s="123" t="s">
        <v>375</v>
      </c>
      <c r="H2532" s="761">
        <v>59504</v>
      </c>
      <c r="I2532" s="177" t="s">
        <v>292</v>
      </c>
      <c r="J2532" s="38" t="s">
        <v>516</v>
      </c>
      <c r="K2532" s="39"/>
      <c r="L2532" s="40"/>
      <c r="M2532" s="380"/>
      <c r="N2532" s="1273"/>
      <c r="O2532"/>
      <c r="P2532" s="412"/>
      <c r="Q2532" s="391"/>
      <c r="R2532" s="393"/>
    </row>
    <row r="2533" spans="1:18" ht="30" customHeight="1" x14ac:dyDescent="0.25">
      <c r="A2533" s="44" t="s">
        <v>517</v>
      </c>
      <c r="B2533" s="180" t="s">
        <v>295</v>
      </c>
      <c r="C2533" s="180"/>
      <c r="D2533" s="180"/>
      <c r="E2533" s="285" t="s">
        <v>519</v>
      </c>
      <c r="F2533" s="182" t="s">
        <v>518</v>
      </c>
      <c r="G2533" s="971"/>
      <c r="H2533" s="181"/>
      <c r="I2533" s="286" t="s">
        <v>520</v>
      </c>
      <c r="J2533" s="287"/>
      <c r="K2533" s="288" t="s">
        <v>521</v>
      </c>
      <c r="L2533" s="289"/>
      <c r="O2533"/>
      <c r="P2533" s="412"/>
      <c r="Q2533" s="391"/>
      <c r="R2533" s="393"/>
    </row>
    <row r="2534" spans="1:18" ht="30" customHeight="1" x14ac:dyDescent="0.25">
      <c r="A2534" s="65" t="s">
        <v>522</v>
      </c>
      <c r="B2534" s="214" t="s">
        <v>1864</v>
      </c>
      <c r="C2534" s="214"/>
      <c r="D2534" s="214"/>
      <c r="E2534" s="292">
        <v>209</v>
      </c>
      <c r="F2534" s="291">
        <v>21000</v>
      </c>
      <c r="G2534" s="1260"/>
      <c r="H2534" s="294"/>
      <c r="I2534" s="295" t="s">
        <v>524</v>
      </c>
      <c r="J2534" s="296"/>
      <c r="K2534" s="1261">
        <f>+E2534</f>
        <v>209</v>
      </c>
      <c r="L2534" s="290" t="s">
        <v>9</v>
      </c>
      <c r="M2534" s="419"/>
      <c r="N2534" s="420"/>
      <c r="O2534"/>
      <c r="P2534" s="412"/>
      <c r="Q2534" s="391"/>
      <c r="R2534" s="393"/>
    </row>
    <row r="2535" spans="1:18" ht="30" customHeight="1" thickBot="1" x14ac:dyDescent="0.3">
      <c r="A2535" s="61"/>
      <c r="B2535" s="191"/>
      <c r="C2535" s="191"/>
      <c r="D2535" s="191"/>
      <c r="E2535" s="297"/>
      <c r="F2535" s="298"/>
      <c r="G2535" s="298"/>
      <c r="H2535" s="299"/>
      <c r="I2535" s="18"/>
      <c r="J2535" s="185" t="s">
        <v>358</v>
      </c>
      <c r="K2535" s="1262">
        <f>+K2534</f>
        <v>209</v>
      </c>
      <c r="L2535" s="20" t="s">
        <v>9</v>
      </c>
      <c r="M2535" s="670"/>
      <c r="N2535" s="671"/>
      <c r="O2535" s="43"/>
      <c r="P2535" s="672"/>
      <c r="Q2535" s="671"/>
      <c r="R2535" s="673"/>
    </row>
    <row r="2536" spans="1:18" ht="30" customHeight="1" thickBot="1" x14ac:dyDescent="0.3">
      <c r="A2536" s="76"/>
      <c r="B2536" s="77"/>
      <c r="C2536" s="77"/>
      <c r="D2536" s="77"/>
      <c r="E2536" s="77"/>
      <c r="F2536" s="77"/>
      <c r="G2536" s="77"/>
      <c r="H2536" s="77"/>
      <c r="I2536" s="77"/>
      <c r="J2536" s="77"/>
      <c r="K2536" s="77"/>
      <c r="L2536" s="78"/>
      <c r="M2536" s="670"/>
      <c r="N2536" s="671"/>
      <c r="O2536" s="43"/>
      <c r="P2536" s="672"/>
      <c r="Q2536" s="671"/>
      <c r="R2536" s="673"/>
    </row>
    <row r="2537" spans="1:18" ht="30" customHeight="1" x14ac:dyDescent="0.25">
      <c r="A2537" s="207" t="s">
        <v>288</v>
      </c>
      <c r="B2537" s="208">
        <v>4412</v>
      </c>
      <c r="C2537" s="282" t="s">
        <v>1865</v>
      </c>
      <c r="D2537" s="283"/>
      <c r="E2537" s="177" t="s">
        <v>291</v>
      </c>
      <c r="F2537" s="178" t="s">
        <v>9</v>
      </c>
      <c r="G2537" s="123" t="s">
        <v>375</v>
      </c>
      <c r="H2537" s="302">
        <v>26064</v>
      </c>
      <c r="I2537" s="177" t="s">
        <v>292</v>
      </c>
      <c r="J2537" s="38" t="s">
        <v>526</v>
      </c>
      <c r="K2537" s="39"/>
      <c r="L2537" s="40"/>
      <c r="M2537" s="380"/>
      <c r="N2537" s="1273"/>
      <c r="O2537"/>
      <c r="P2537" s="412"/>
      <c r="Q2537" s="391"/>
      <c r="R2537" s="393"/>
    </row>
    <row r="2538" spans="1:18" ht="30" customHeight="1" x14ac:dyDescent="0.25">
      <c r="A2538" s="181" t="s">
        <v>517</v>
      </c>
      <c r="B2538" s="180" t="s">
        <v>295</v>
      </c>
      <c r="C2538" s="180"/>
      <c r="D2538" s="180"/>
      <c r="E2538" s="285" t="s">
        <v>519</v>
      </c>
      <c r="F2538" s="181" t="s">
        <v>518</v>
      </c>
      <c r="G2538" s="665" t="s">
        <v>2</v>
      </c>
      <c r="H2538" s="666"/>
      <c r="I2538" s="286" t="s">
        <v>520</v>
      </c>
      <c r="J2538" s="287"/>
      <c r="K2538" s="288" t="s">
        <v>521</v>
      </c>
      <c r="L2538" s="289"/>
      <c r="O2538"/>
      <c r="P2538" s="412"/>
      <c r="Q2538" s="391"/>
      <c r="R2538" s="393"/>
    </row>
    <row r="2539" spans="1:18" ht="30" customHeight="1" x14ac:dyDescent="0.25">
      <c r="A2539" s="20">
        <v>44222</v>
      </c>
      <c r="B2539" s="503" t="s">
        <v>1834</v>
      </c>
      <c r="C2539" s="504"/>
      <c r="D2539" s="505"/>
      <c r="E2539" s="405">
        <v>126</v>
      </c>
      <c r="F2539" s="729">
        <v>2900</v>
      </c>
      <c r="G2539" s="680" t="s">
        <v>9</v>
      </c>
      <c r="H2539" s="680"/>
      <c r="I2539" s="295">
        <f>+'MILCON Inflation Table'!F15</f>
        <v>0.9813542688910698</v>
      </c>
      <c r="J2539" s="296"/>
      <c r="K2539" s="304">
        <f>+E2539*I2539</f>
        <v>123.6506378802748</v>
      </c>
      <c r="L2539" s="290" t="s">
        <v>9</v>
      </c>
      <c r="M2539" s="419"/>
      <c r="N2539" s="420"/>
      <c r="O2539"/>
      <c r="P2539" s="412"/>
      <c r="Q2539" s="391"/>
      <c r="R2539" s="393"/>
    </row>
    <row r="2540" spans="1:18" ht="30" customHeight="1" thickBot="1" x14ac:dyDescent="0.3">
      <c r="A2540" s="20"/>
      <c r="B2540" s="503"/>
      <c r="C2540" s="504"/>
      <c r="D2540" s="505"/>
      <c r="E2540" s="465"/>
      <c r="F2540" s="763"/>
      <c r="G2540" s="465"/>
      <c r="H2540" s="764"/>
      <c r="I2540" s="18"/>
      <c r="J2540" s="185" t="s">
        <v>358</v>
      </c>
      <c r="K2540" s="305">
        <f>AVERAGE(K2539:K2539)</f>
        <v>123.6506378802748</v>
      </c>
      <c r="L2540" s="290" t="s">
        <v>9</v>
      </c>
      <c r="O2540"/>
      <c r="P2540" s="412"/>
      <c r="Q2540" s="391"/>
      <c r="R2540" s="393"/>
    </row>
    <row r="2541" spans="1:18" s="49" customFormat="1" ht="30" customHeight="1" thickBot="1" x14ac:dyDescent="0.3">
      <c r="A2541" s="76"/>
      <c r="B2541" s="77"/>
      <c r="C2541" s="77"/>
      <c r="D2541" s="77"/>
      <c r="E2541" s="77"/>
      <c r="F2541" s="77"/>
      <c r="G2541" s="77"/>
      <c r="H2541" s="77"/>
      <c r="I2541" s="77"/>
      <c r="J2541" s="77"/>
      <c r="K2541" s="77"/>
      <c r="L2541" s="78"/>
      <c r="M2541" s="502"/>
      <c r="N2541" s="502"/>
      <c r="P2541" s="412"/>
      <c r="Q2541" s="391"/>
      <c r="R2541" s="393"/>
    </row>
    <row r="2542" spans="1:18" ht="30" customHeight="1" x14ac:dyDescent="0.25">
      <c r="A2542" s="207" t="s">
        <v>288</v>
      </c>
      <c r="B2542" s="208">
        <v>4413</v>
      </c>
      <c r="C2542" s="209" t="s">
        <v>1866</v>
      </c>
      <c r="D2542" s="210"/>
      <c r="E2542" s="177" t="s">
        <v>291</v>
      </c>
      <c r="F2542" s="178" t="s">
        <v>9</v>
      </c>
      <c r="G2542" s="123" t="s">
        <v>375</v>
      </c>
      <c r="H2542" s="179">
        <v>4307</v>
      </c>
      <c r="I2542" s="177" t="s">
        <v>292</v>
      </c>
      <c r="J2542" s="38" t="s">
        <v>1498</v>
      </c>
      <c r="K2542" s="39"/>
      <c r="L2542" s="40"/>
      <c r="M2542" s="419"/>
      <c r="N2542" s="420"/>
      <c r="O2542"/>
      <c r="P2542" s="412"/>
      <c r="Q2542" s="391"/>
      <c r="R2542" s="393"/>
    </row>
    <row r="2543" spans="1:18" ht="30" customHeight="1" x14ac:dyDescent="0.25">
      <c r="A2543" s="181"/>
      <c r="B2543" s="180" t="s">
        <v>295</v>
      </c>
      <c r="C2543" s="180"/>
      <c r="D2543" s="180"/>
      <c r="E2543" s="285" t="s">
        <v>519</v>
      </c>
      <c r="F2543" s="181" t="s">
        <v>518</v>
      </c>
      <c r="G2543" s="971"/>
      <c r="H2543" s="770"/>
      <c r="I2543" s="286" t="s">
        <v>520</v>
      </c>
      <c r="J2543" s="287"/>
      <c r="K2543" s="288" t="s">
        <v>521</v>
      </c>
      <c r="L2543" s="289"/>
      <c r="M2543" s="419"/>
      <c r="N2543" s="420"/>
      <c r="O2543"/>
      <c r="P2543" s="412"/>
      <c r="Q2543" s="391"/>
      <c r="R2543" s="393"/>
    </row>
    <row r="2544" spans="1:18" ht="30" customHeight="1" x14ac:dyDescent="0.25">
      <c r="A2544" s="147" t="s">
        <v>522</v>
      </c>
      <c r="B2544" s="214" t="s">
        <v>1867</v>
      </c>
      <c r="C2544" s="214"/>
      <c r="D2544" s="214"/>
      <c r="E2544" s="1263">
        <v>367</v>
      </c>
      <c r="F2544" s="1071">
        <v>4300</v>
      </c>
      <c r="G2544" s="13"/>
      <c r="H2544" s="1264"/>
      <c r="I2544" s="1265">
        <f>+'MILCON Inflation Table'!F9</f>
        <v>1.2106096595407758</v>
      </c>
      <c r="J2544" s="1265"/>
      <c r="K2544" s="768">
        <f>+E2544*I2544</f>
        <v>444.29374505146473</v>
      </c>
      <c r="L2544" s="147" t="s">
        <v>9</v>
      </c>
      <c r="M2544" s="380"/>
      <c r="N2544" s="1273"/>
      <c r="O2544"/>
      <c r="P2544" s="412"/>
      <c r="Q2544" s="391"/>
      <c r="R2544" s="393"/>
    </row>
    <row r="2545" spans="1:21" ht="30" customHeight="1" thickBot="1" x14ac:dyDescent="0.3">
      <c r="A2545" s="20"/>
      <c r="B2545" s="191" t="s">
        <v>1500</v>
      </c>
      <c r="C2545" s="191"/>
      <c r="D2545" s="191"/>
      <c r="E2545" s="297"/>
      <c r="F2545" s="298"/>
      <c r="G2545" s="298"/>
      <c r="H2545" s="299"/>
      <c r="I2545" s="18"/>
      <c r="J2545" s="185" t="s">
        <v>358</v>
      </c>
      <c r="K2545" s="305">
        <f>+K2544</f>
        <v>444.29374505146473</v>
      </c>
      <c r="L2545" s="20" t="s">
        <v>9</v>
      </c>
      <c r="M2545" s="419"/>
      <c r="N2545" s="420"/>
      <c r="O2545"/>
      <c r="P2545" s="412"/>
      <c r="Q2545" s="391"/>
      <c r="R2545" s="393"/>
    </row>
    <row r="2546" spans="1:21" ht="30" customHeight="1" thickBot="1" x14ac:dyDescent="0.3">
      <c r="A2546" s="76"/>
      <c r="B2546" s="77"/>
      <c r="C2546" s="77"/>
      <c r="D2546" s="77"/>
      <c r="E2546" s="77"/>
      <c r="F2546" s="77"/>
      <c r="G2546" s="77"/>
      <c r="H2546" s="77"/>
      <c r="I2546" s="77"/>
      <c r="J2546" s="77"/>
      <c r="K2546" s="77"/>
      <c r="L2546" s="78"/>
      <c r="M2546" s="670"/>
      <c r="N2546" s="671"/>
      <c r="O2546" s="43"/>
      <c r="P2546" s="672"/>
      <c r="Q2546" s="671"/>
      <c r="R2546" s="673"/>
    </row>
    <row r="2547" spans="1:21" ht="30" customHeight="1" x14ac:dyDescent="0.25">
      <c r="A2547" s="1266" t="s">
        <v>288</v>
      </c>
      <c r="B2547" s="1266">
        <v>4414</v>
      </c>
      <c r="C2547" s="1267" t="s">
        <v>1868</v>
      </c>
      <c r="D2547" s="1267"/>
      <c r="E2547" s="936" t="s">
        <v>291</v>
      </c>
      <c r="F2547" s="1268" t="s">
        <v>9</v>
      </c>
      <c r="G2547" s="934" t="s">
        <v>375</v>
      </c>
      <c r="H2547" s="1269">
        <v>126985</v>
      </c>
      <c r="I2547" s="936" t="s">
        <v>292</v>
      </c>
      <c r="J2547" s="488" t="s">
        <v>1869</v>
      </c>
      <c r="K2547" s="488"/>
      <c r="L2547" s="489"/>
      <c r="M2547" s="670"/>
      <c r="N2547" s="671"/>
      <c r="O2547" s="43"/>
      <c r="P2547" s="672"/>
      <c r="Q2547" s="671"/>
      <c r="R2547" s="673"/>
    </row>
    <row r="2548" spans="1:21" ht="30" customHeight="1" x14ac:dyDescent="0.25">
      <c r="A2548" s="421" t="s">
        <v>529</v>
      </c>
      <c r="B2548" s="543" t="s">
        <v>560</v>
      </c>
      <c r="C2548" s="544"/>
      <c r="D2548" s="545"/>
      <c r="E2548" s="546" t="s">
        <v>519</v>
      </c>
      <c r="F2548" s="546" t="s">
        <v>561</v>
      </c>
      <c r="G2548" s="398" t="s">
        <v>562</v>
      </c>
      <c r="H2548" s="399"/>
      <c r="I2548" s="938" t="s">
        <v>1661</v>
      </c>
      <c r="J2548" s="424" t="s">
        <v>530</v>
      </c>
      <c r="K2548" s="288" t="s">
        <v>521</v>
      </c>
      <c r="L2548" s="289"/>
      <c r="M2548" s="1881"/>
      <c r="N2548" s="1270"/>
      <c r="O2548"/>
      <c r="P2548" s="412"/>
      <c r="Q2548" s="391"/>
      <c r="R2548" s="393"/>
    </row>
    <row r="2549" spans="1:21" ht="30" customHeight="1" x14ac:dyDescent="0.25">
      <c r="A2549" s="10" t="s">
        <v>1856</v>
      </c>
      <c r="B2549" s="346" t="s">
        <v>1870</v>
      </c>
      <c r="C2549" s="347"/>
      <c r="D2549" s="348"/>
      <c r="E2549" s="326">
        <v>79.39</v>
      </c>
      <c r="F2549" s="10" t="s">
        <v>9</v>
      </c>
      <c r="G2549" s="925"/>
      <c r="H2549" s="10"/>
      <c r="I2549" s="10"/>
      <c r="J2549" s="10">
        <v>1.06</v>
      </c>
      <c r="K2549" s="326">
        <f>+E2549*J2549</f>
        <v>84.153400000000005</v>
      </c>
      <c r="L2549" s="10" t="s">
        <v>9</v>
      </c>
      <c r="M2549" s="1270"/>
      <c r="N2549" s="1270"/>
      <c r="P2549" s="43"/>
      <c r="Q2549" s="43"/>
      <c r="R2549" s="43"/>
      <c r="S2549" s="60"/>
      <c r="T2549" s="60"/>
      <c r="U2549" s="43"/>
    </row>
    <row r="2550" spans="1:21" ht="30" customHeight="1" x14ac:dyDescent="0.25">
      <c r="A2550" s="10" t="s">
        <v>664</v>
      </c>
      <c r="B2550" s="346" t="s">
        <v>1871</v>
      </c>
      <c r="C2550" s="347"/>
      <c r="D2550" s="348"/>
      <c r="E2550" s="326">
        <f>(19.15+29.75)/2</f>
        <v>24.45</v>
      </c>
      <c r="F2550" s="10" t="s">
        <v>666</v>
      </c>
      <c r="G2550" s="430">
        <f>13*81</f>
        <v>1053</v>
      </c>
      <c r="H2550" s="1041" t="s">
        <v>1872</v>
      </c>
      <c r="I2550" s="1271">
        <f t="shared" ref="I2550:I2555" si="47">+E2550*G2550/$H$2547</f>
        <v>0.20274717486317281</v>
      </c>
      <c r="J2550" s="10">
        <v>1.02</v>
      </c>
      <c r="K2550" s="326">
        <f t="shared" ref="K2550:K2555" si="48">+I2550*J2550</f>
        <v>0.20680211836043627</v>
      </c>
      <c r="L2550" s="10" t="s">
        <v>9</v>
      </c>
      <c r="M2550" s="1932"/>
      <c r="N2550" s="213"/>
      <c r="P2550" s="43"/>
      <c r="Q2550" s="43"/>
      <c r="R2550" s="43"/>
      <c r="S2550" s="60"/>
      <c r="T2550" s="60"/>
      <c r="U2550" s="43"/>
    </row>
    <row r="2551" spans="1:21" s="41" customFormat="1" ht="30" customHeight="1" x14ac:dyDescent="0.25">
      <c r="A2551" s="10" t="s">
        <v>664</v>
      </c>
      <c r="B2551" s="346" t="s">
        <v>1638</v>
      </c>
      <c r="C2551" s="347"/>
      <c r="D2551" s="348"/>
      <c r="E2551" s="326">
        <f>(1610+2280)/2</f>
        <v>1945</v>
      </c>
      <c r="F2551" s="10" t="s">
        <v>11</v>
      </c>
      <c r="G2551" s="13">
        <v>13</v>
      </c>
      <c r="H2551" s="1041" t="s">
        <v>11</v>
      </c>
      <c r="I2551" s="1271">
        <f t="shared" si="47"/>
        <v>0.1991180060637083</v>
      </c>
      <c r="J2551" s="10">
        <v>1.02</v>
      </c>
      <c r="K2551" s="326">
        <f t="shared" si="48"/>
        <v>0.20310036618498248</v>
      </c>
      <c r="L2551" s="10" t="s">
        <v>9</v>
      </c>
      <c r="M2551" s="341"/>
      <c r="N2551" s="341"/>
      <c r="O2551" s="42"/>
    </row>
    <row r="2552" spans="1:21" s="49" customFormat="1" ht="30" customHeight="1" x14ac:dyDescent="0.25">
      <c r="A2552" s="10" t="s">
        <v>668</v>
      </c>
      <c r="B2552" s="323" t="s">
        <v>1873</v>
      </c>
      <c r="C2552" s="324"/>
      <c r="D2552" s="325"/>
      <c r="E2552" s="326">
        <f>+(31.5+75)/2</f>
        <v>53.25</v>
      </c>
      <c r="F2552" s="10" t="s">
        <v>11</v>
      </c>
      <c r="G2552" s="1272">
        <f>13*10</f>
        <v>130</v>
      </c>
      <c r="H2552" s="1041" t="s">
        <v>7</v>
      </c>
      <c r="I2552" s="1271">
        <f t="shared" si="47"/>
        <v>5.4514312714100094E-2</v>
      </c>
      <c r="J2552" s="10">
        <v>1.04</v>
      </c>
      <c r="K2552" s="326">
        <f t="shared" si="48"/>
        <v>5.6694885222664103E-2</v>
      </c>
      <c r="L2552" s="10" t="s">
        <v>9</v>
      </c>
      <c r="M2552" s="1273"/>
      <c r="N2552" s="1273"/>
      <c r="O2552" s="27"/>
    </row>
    <row r="2553" spans="1:21" ht="30" customHeight="1" x14ac:dyDescent="0.25">
      <c r="A2553" s="10" t="s">
        <v>668</v>
      </c>
      <c r="B2553" s="334" t="s">
        <v>671</v>
      </c>
      <c r="C2553" s="335"/>
      <c r="D2553" s="336"/>
      <c r="E2553" s="326">
        <f>+(5900+11300)/2</f>
        <v>8600</v>
      </c>
      <c r="F2553" s="10" t="s">
        <v>11</v>
      </c>
      <c r="G2553" s="13">
        <v>13</v>
      </c>
      <c r="H2553" s="1041" t="s">
        <v>11</v>
      </c>
      <c r="I2553" s="1271">
        <f t="shared" si="47"/>
        <v>0.88041894711973856</v>
      </c>
      <c r="J2553" s="10">
        <v>1.04</v>
      </c>
      <c r="K2553" s="326">
        <f t="shared" si="48"/>
        <v>0.91563570500452818</v>
      </c>
      <c r="L2553" s="10" t="s">
        <v>9</v>
      </c>
      <c r="M2553" s="1932"/>
      <c r="N2553" s="213"/>
    </row>
    <row r="2554" spans="1:21" ht="30" customHeight="1" x14ac:dyDescent="0.25">
      <c r="A2554" s="10" t="s">
        <v>668</v>
      </c>
      <c r="B2554" s="323" t="s">
        <v>1874</v>
      </c>
      <c r="C2554" s="324"/>
      <c r="D2554" s="325"/>
      <c r="E2554" s="326">
        <f>+(605+925)/2</f>
        <v>765</v>
      </c>
      <c r="F2554" s="10" t="s">
        <v>11</v>
      </c>
      <c r="G2554" s="13">
        <v>13</v>
      </c>
      <c r="H2554" s="1041" t="s">
        <v>11</v>
      </c>
      <c r="I2554" s="1271">
        <f t="shared" si="47"/>
        <v>7.8316336575186052E-2</v>
      </c>
      <c r="J2554" s="10">
        <v>1.04</v>
      </c>
      <c r="K2554" s="326">
        <f t="shared" si="48"/>
        <v>8.1448990038193503E-2</v>
      </c>
      <c r="L2554" s="10" t="s">
        <v>9</v>
      </c>
      <c r="N2554" s="342"/>
      <c r="O2554" s="42"/>
      <c r="P2554" s="41"/>
      <c r="Q2554" s="41"/>
      <c r="R2554" s="41"/>
      <c r="S2554" s="41"/>
      <c r="T2554" s="41"/>
      <c r="U2554" s="43"/>
    </row>
    <row r="2555" spans="1:21" ht="30" customHeight="1" x14ac:dyDescent="0.25">
      <c r="A2555" s="10" t="s">
        <v>668</v>
      </c>
      <c r="B2555" s="323" t="s">
        <v>673</v>
      </c>
      <c r="C2555" s="324"/>
      <c r="D2555" s="325"/>
      <c r="E2555" s="326">
        <f>+(1060+3175)/2</f>
        <v>2117.5</v>
      </c>
      <c r="F2555" s="10" t="s">
        <v>11</v>
      </c>
      <c r="G2555" s="13">
        <v>13</v>
      </c>
      <c r="H2555" s="1041" t="s">
        <v>11</v>
      </c>
      <c r="I2555" s="1271">
        <f t="shared" si="47"/>
        <v>0.21677757215419144</v>
      </c>
      <c r="J2555" s="10">
        <v>1.04</v>
      </c>
      <c r="K2555" s="326">
        <f t="shared" si="48"/>
        <v>0.22544867504035909</v>
      </c>
      <c r="L2555" s="10" t="s">
        <v>9</v>
      </c>
      <c r="U2555" s="43"/>
    </row>
    <row r="2556" spans="1:21" s="41" customFormat="1" ht="30" customHeight="1" x14ac:dyDescent="0.25">
      <c r="A2556" s="10" t="s">
        <v>644</v>
      </c>
      <c r="B2556" s="323" t="s">
        <v>1875</v>
      </c>
      <c r="C2556" s="324"/>
      <c r="D2556" s="324"/>
      <c r="E2556" s="326">
        <v>2.6</v>
      </c>
      <c r="F2556" s="10" t="s">
        <v>9</v>
      </c>
      <c r="G2556" s="845"/>
      <c r="H2556" s="846"/>
      <c r="I2556" s="846"/>
      <c r="J2556" s="10">
        <v>1.06</v>
      </c>
      <c r="K2556" s="326">
        <f>+E2556*J2556</f>
        <v>2.7560000000000002</v>
      </c>
      <c r="L2556" s="10" t="s">
        <v>9</v>
      </c>
      <c r="M2556" s="341"/>
      <c r="N2556" s="341"/>
      <c r="O2556" s="27"/>
      <c r="P2556"/>
      <c r="Q2556"/>
      <c r="R2556"/>
      <c r="S2556"/>
      <c r="T2556"/>
    </row>
    <row r="2557" spans="1:21" s="49" customFormat="1" ht="30" customHeight="1" x14ac:dyDescent="0.25">
      <c r="A2557" s="10"/>
      <c r="B2557" s="701"/>
      <c r="C2557" s="701"/>
      <c r="D2557" s="701"/>
      <c r="E2557" s="326"/>
      <c r="F2557" s="845"/>
      <c r="G2557" s="846"/>
      <c r="H2557" s="846"/>
      <c r="I2557" s="10"/>
      <c r="J2557" s="10" t="s">
        <v>578</v>
      </c>
      <c r="K2557" s="326">
        <f>SUM(K2549:K2556)</f>
        <v>88.598530739851185</v>
      </c>
      <c r="L2557" s="10" t="s">
        <v>9</v>
      </c>
      <c r="M2557" s="502"/>
      <c r="N2557" s="502"/>
      <c r="O2557" s="27"/>
      <c r="P2557" s="50"/>
      <c r="Q2557" s="50"/>
      <c r="R2557" s="50"/>
      <c r="S2557" s="212"/>
      <c r="T2557" s="212"/>
    </row>
    <row r="2558" spans="1:21" ht="30" customHeight="1" x14ac:dyDescent="0.25">
      <c r="A2558" s="20"/>
      <c r="B2558" s="410"/>
      <c r="C2558" s="410"/>
      <c r="D2558" s="410"/>
      <c r="E2558" s="410"/>
      <c r="F2558" s="338" t="s">
        <v>533</v>
      </c>
      <c r="G2558" s="339" t="s">
        <v>534</v>
      </c>
      <c r="H2558" s="339"/>
      <c r="I2558" s="339"/>
      <c r="J2558" s="339"/>
      <c r="K2558" s="751">
        <v>1.0900000000000001</v>
      </c>
      <c r="L2558" s="10"/>
      <c r="M2558" s="43"/>
      <c r="P2558" s="43"/>
      <c r="Q2558" s="43"/>
      <c r="R2558" s="43"/>
      <c r="S2558" s="60"/>
      <c r="T2558" s="60"/>
    </row>
    <row r="2559" spans="1:21" ht="30" customHeight="1" x14ac:dyDescent="0.25">
      <c r="A2559" s="20"/>
      <c r="B2559" s="410"/>
      <c r="C2559" s="410"/>
      <c r="D2559" s="410"/>
      <c r="E2559" s="410"/>
      <c r="F2559" s="343"/>
      <c r="G2559" s="344" t="s">
        <v>535</v>
      </c>
      <c r="H2559" s="344"/>
      <c r="I2559" s="344"/>
      <c r="J2559" s="344"/>
      <c r="K2559" s="340">
        <v>1.02</v>
      </c>
      <c r="L2559" s="10"/>
      <c r="P2559" s="43"/>
      <c r="Q2559" s="43"/>
      <c r="R2559" s="43"/>
      <c r="S2559" s="60"/>
      <c r="T2559" s="60"/>
      <c r="U2559" s="43"/>
    </row>
    <row r="2560" spans="1:21" ht="30" customHeight="1" x14ac:dyDescent="0.25">
      <c r="A2560" s="10"/>
      <c r="B2560" s="10"/>
      <c r="C2560" s="13"/>
      <c r="D2560" s="13"/>
      <c r="E2560" s="13"/>
      <c r="F2560" s="13"/>
      <c r="G2560" s="13"/>
      <c r="H2560" s="13"/>
      <c r="I2560" s="13"/>
      <c r="J2560" s="10" t="s">
        <v>358</v>
      </c>
      <c r="K2560" s="14">
        <f>+K2557*K2558/K2559</f>
        <v>94.678822065135094</v>
      </c>
      <c r="L2560" s="10" t="s">
        <v>9</v>
      </c>
      <c r="P2560" s="43"/>
      <c r="Q2560" s="43"/>
      <c r="R2560" s="43"/>
      <c r="S2560" s="60"/>
      <c r="T2560" s="60"/>
      <c r="U2560" s="43"/>
    </row>
    <row r="2561" spans="1:21" ht="30" customHeight="1" x14ac:dyDescent="0.25">
      <c r="A2561" s="10"/>
      <c r="B2561" s="10"/>
      <c r="C2561" s="13"/>
      <c r="D2561" s="13"/>
      <c r="E2561" s="13"/>
      <c r="F2561" s="13"/>
      <c r="G2561" s="13"/>
      <c r="H2561" s="925"/>
      <c r="I2561" s="969" t="s">
        <v>652</v>
      </c>
      <c r="J2561" s="361">
        <f>VLOOKUP(B2547,'Mil Cost Premiums for RUCs'!$A$4:$R$265,18,FALSE)</f>
        <v>1.168693068754227</v>
      </c>
      <c r="K2561" s="14">
        <f>+K2560*J2561</f>
        <v>110.65048310533815</v>
      </c>
      <c r="L2561" s="10" t="s">
        <v>9</v>
      </c>
      <c r="M2561" s="1932"/>
      <c r="N2561" s="213"/>
      <c r="U2561" s="43"/>
    </row>
    <row r="2562" spans="1:21" s="49" customFormat="1" ht="75" customHeight="1" x14ac:dyDescent="0.25">
      <c r="A2562" s="577" t="s">
        <v>538</v>
      </c>
      <c r="B2562" s="578"/>
      <c r="C2562" s="578"/>
      <c r="D2562" s="578"/>
      <c r="E2562" s="578"/>
      <c r="F2562" s="578"/>
      <c r="G2562" s="578"/>
      <c r="H2562" s="578"/>
      <c r="I2562" s="578"/>
      <c r="J2562" s="578"/>
      <c r="K2562" s="578"/>
      <c r="L2562" s="579"/>
      <c r="M2562" s="1330"/>
      <c r="N2562" s="1117"/>
      <c r="O2562" s="27"/>
      <c r="P2562" s="50"/>
      <c r="Q2562" s="50"/>
      <c r="R2562" s="50"/>
      <c r="S2562" s="212"/>
      <c r="T2562" s="212"/>
    </row>
    <row r="2563" spans="1:21" ht="30" customHeight="1" x14ac:dyDescent="0.25">
      <c r="A2563" s="1033" t="s">
        <v>539</v>
      </c>
      <c r="B2563" s="1034"/>
      <c r="C2563" s="1035"/>
      <c r="D2563" s="386" t="s">
        <v>1876</v>
      </c>
      <c r="E2563" s="849"/>
      <c r="F2563" s="849"/>
      <c r="G2563" s="849"/>
      <c r="H2563" s="849"/>
      <c r="I2563" s="849"/>
      <c r="J2563" s="849"/>
      <c r="K2563" s="849"/>
      <c r="L2563" s="850"/>
      <c r="M2563" s="43"/>
      <c r="N2563" s="43"/>
      <c r="P2563" s="43"/>
      <c r="Q2563" s="43"/>
      <c r="R2563" s="43"/>
      <c r="S2563" s="60"/>
      <c r="T2563" s="60"/>
    </row>
    <row r="2564" spans="1:21" ht="45" customHeight="1" x14ac:dyDescent="0.25">
      <c r="A2564" s="1033" t="s">
        <v>541</v>
      </c>
      <c r="B2564" s="1034"/>
      <c r="C2564" s="1035"/>
      <c r="D2564" s="386" t="s">
        <v>1877</v>
      </c>
      <c r="E2564" s="849"/>
      <c r="F2564" s="849"/>
      <c r="G2564" s="849"/>
      <c r="H2564" s="849"/>
      <c r="I2564" s="849"/>
      <c r="J2564" s="849"/>
      <c r="K2564" s="849"/>
      <c r="L2564" s="850"/>
      <c r="M2564" s="1274"/>
      <c r="N2564" s="1274"/>
      <c r="O2564"/>
      <c r="P2564" s="412"/>
      <c r="Q2564" s="391"/>
      <c r="R2564" s="393"/>
    </row>
    <row r="2565" spans="1:21" ht="30" customHeight="1" x14ac:dyDescent="0.25">
      <c r="A2565" s="1033" t="s">
        <v>543</v>
      </c>
      <c r="B2565" s="1034"/>
      <c r="C2565" s="1035"/>
      <c r="D2565" s="386" t="s">
        <v>1878</v>
      </c>
      <c r="E2565" s="849"/>
      <c r="F2565" s="849"/>
      <c r="G2565" s="849"/>
      <c r="H2565" s="849"/>
      <c r="I2565" s="849"/>
      <c r="J2565" s="849"/>
      <c r="K2565" s="849"/>
      <c r="L2565" s="850"/>
      <c r="M2565" s="1274"/>
      <c r="N2565" s="1274"/>
      <c r="O2565" s="59"/>
      <c r="P2565" s="412"/>
      <c r="Q2565" s="391"/>
      <c r="R2565" s="393"/>
    </row>
    <row r="2566" spans="1:21" ht="60" customHeight="1" x14ac:dyDescent="0.25">
      <c r="A2566" s="1033" t="s">
        <v>546</v>
      </c>
      <c r="B2566" s="1034"/>
      <c r="C2566" s="1035"/>
      <c r="D2566" s="386" t="s">
        <v>1879</v>
      </c>
      <c r="E2566" s="849"/>
      <c r="F2566" s="849"/>
      <c r="G2566" s="849"/>
      <c r="H2566" s="849"/>
      <c r="I2566" s="849"/>
      <c r="J2566" s="849"/>
      <c r="K2566" s="849"/>
      <c r="L2566" s="850"/>
      <c r="O2566" s="391"/>
      <c r="P2566" s="393"/>
    </row>
    <row r="2567" spans="1:21" s="49" customFormat="1" ht="75" customHeight="1" x14ac:dyDescent="0.25">
      <c r="A2567" s="1033" t="s">
        <v>548</v>
      </c>
      <c r="B2567" s="1034"/>
      <c r="C2567" s="1035"/>
      <c r="D2567" s="386" t="s">
        <v>1880</v>
      </c>
      <c r="E2567" s="849"/>
      <c r="F2567" s="849"/>
      <c r="G2567" s="849"/>
      <c r="H2567" s="849"/>
      <c r="I2567" s="849"/>
      <c r="J2567" s="849"/>
      <c r="K2567" s="849"/>
      <c r="L2567" s="850"/>
      <c r="M2567" s="502"/>
      <c r="N2567" s="502"/>
      <c r="O2567" s="391"/>
      <c r="P2567" s="393"/>
    </row>
    <row r="2568" spans="1:21" ht="30" customHeight="1" x14ac:dyDescent="0.25">
      <c r="A2568" s="1033" t="s">
        <v>550</v>
      </c>
      <c r="B2568" s="1034"/>
      <c r="C2568" s="1035"/>
      <c r="D2568" s="386" t="s">
        <v>679</v>
      </c>
      <c r="E2568" s="849"/>
      <c r="F2568" s="849"/>
      <c r="G2568" s="849"/>
      <c r="H2568" s="849"/>
      <c r="I2568" s="849"/>
      <c r="J2568" s="849"/>
      <c r="K2568" s="849"/>
      <c r="L2568" s="850"/>
      <c r="M2568" s="43"/>
      <c r="N2568" s="566"/>
      <c r="O2568" s="391"/>
      <c r="P2568" s="393"/>
    </row>
    <row r="2569" spans="1:21" ht="30" customHeight="1" x14ac:dyDescent="0.25">
      <c r="A2569" s="1033" t="s">
        <v>552</v>
      </c>
      <c r="B2569" s="1034"/>
      <c r="C2569" s="1035"/>
      <c r="D2569" s="386" t="s">
        <v>1881</v>
      </c>
      <c r="E2569" s="849"/>
      <c r="F2569" s="849"/>
      <c r="G2569" s="849"/>
      <c r="H2569" s="849"/>
      <c r="I2569" s="849"/>
      <c r="J2569" s="849"/>
      <c r="K2569" s="849"/>
      <c r="L2569" s="850"/>
      <c r="M2569" s="1932"/>
      <c r="N2569" s="213"/>
      <c r="O2569" s="391"/>
      <c r="P2569" s="393"/>
    </row>
    <row r="2570" spans="1:21" ht="30" customHeight="1" x14ac:dyDescent="0.25">
      <c r="A2570" s="1033" t="s">
        <v>553</v>
      </c>
      <c r="B2570" s="1034"/>
      <c r="C2570" s="1035"/>
      <c r="D2570" s="386" t="s">
        <v>660</v>
      </c>
      <c r="E2570" s="849"/>
      <c r="F2570" s="849"/>
      <c r="G2570" s="849"/>
      <c r="H2570" s="849"/>
      <c r="I2570" s="849"/>
      <c r="J2570" s="849"/>
      <c r="K2570" s="849"/>
      <c r="L2570" s="850"/>
      <c r="M2570" s="43"/>
      <c r="N2570" s="566"/>
      <c r="O2570" s="391"/>
      <c r="P2570" s="393"/>
    </row>
    <row r="2571" spans="1:21" ht="33.75" customHeight="1" thickBot="1" x14ac:dyDescent="0.3">
      <c r="A2571" s="1182" t="s">
        <v>556</v>
      </c>
      <c r="B2571" s="1183"/>
      <c r="C2571" s="1184"/>
      <c r="D2571" s="960" t="s">
        <v>1882</v>
      </c>
      <c r="E2571" s="961"/>
      <c r="F2571" s="961"/>
      <c r="G2571" s="961"/>
      <c r="H2571" s="961"/>
      <c r="I2571" s="961"/>
      <c r="J2571" s="961"/>
      <c r="K2571" s="961"/>
      <c r="L2571" s="1017"/>
      <c r="M2571" s="43"/>
      <c r="N2571" s="566"/>
      <c r="O2571" s="391"/>
      <c r="P2571" s="393"/>
    </row>
    <row r="2572" spans="1:21" ht="30" customHeight="1" thickBot="1" x14ac:dyDescent="0.3">
      <c r="A2572" s="76"/>
      <c r="B2572" s="77"/>
      <c r="C2572" s="77"/>
      <c r="D2572" s="77"/>
      <c r="E2572" s="77"/>
      <c r="F2572" s="77"/>
      <c r="G2572" s="77"/>
      <c r="H2572" s="77"/>
      <c r="I2572" s="77"/>
      <c r="J2572" s="77"/>
      <c r="K2572" s="77"/>
      <c r="L2572" s="78"/>
      <c r="M2572" s="1910"/>
      <c r="N2572" s="566"/>
      <c r="O2572" s="391"/>
      <c r="P2572" s="393"/>
    </row>
    <row r="2573" spans="1:21" ht="30" customHeight="1" x14ac:dyDescent="0.25">
      <c r="A2573" s="30" t="s">
        <v>288</v>
      </c>
      <c r="B2573" s="208">
        <v>4421</v>
      </c>
      <c r="C2573" s="282" t="s">
        <v>1883</v>
      </c>
      <c r="D2573" s="283"/>
      <c r="E2573" s="177" t="s">
        <v>291</v>
      </c>
      <c r="F2573" s="178" t="s">
        <v>9</v>
      </c>
      <c r="G2573" s="123" t="s">
        <v>375</v>
      </c>
      <c r="H2573" s="769">
        <v>7207.0940532034911</v>
      </c>
      <c r="I2573" s="177" t="s">
        <v>292</v>
      </c>
      <c r="J2573" s="38" t="s">
        <v>516</v>
      </c>
      <c r="K2573" s="39"/>
      <c r="L2573" s="40"/>
      <c r="M2573" s="1910"/>
      <c r="N2573" s="566"/>
      <c r="O2573" s="391"/>
      <c r="P2573" s="393"/>
    </row>
    <row r="2574" spans="1:21" ht="30" customHeight="1" x14ac:dyDescent="0.25">
      <c r="A2574" s="44" t="s">
        <v>517</v>
      </c>
      <c r="B2574" s="180" t="s">
        <v>295</v>
      </c>
      <c r="C2574" s="180"/>
      <c r="D2574" s="180"/>
      <c r="E2574" s="182" t="s">
        <v>518</v>
      </c>
      <c r="F2574" s="285" t="s">
        <v>519</v>
      </c>
      <c r="G2574" s="181"/>
      <c r="H2574" s="181"/>
      <c r="I2574" s="286" t="s">
        <v>520</v>
      </c>
      <c r="J2574" s="287"/>
      <c r="K2574" s="288" t="s">
        <v>521</v>
      </c>
      <c r="L2574" s="289"/>
      <c r="M2574" s="1910"/>
      <c r="N2574" s="566"/>
      <c r="O2574" s="391"/>
      <c r="P2574" s="393"/>
    </row>
    <row r="2575" spans="1:21" ht="30" customHeight="1" x14ac:dyDescent="0.25">
      <c r="A2575" s="65" t="s">
        <v>522</v>
      </c>
      <c r="B2575" s="214" t="s">
        <v>1884</v>
      </c>
      <c r="C2575" s="214"/>
      <c r="D2575" s="214"/>
      <c r="E2575" s="291">
        <v>3600</v>
      </c>
      <c r="F2575" s="292">
        <v>132</v>
      </c>
      <c r="G2575" s="293"/>
      <c r="H2575" s="294"/>
      <c r="I2575" s="295" t="s">
        <v>524</v>
      </c>
      <c r="J2575" s="296"/>
      <c r="K2575" s="292">
        <f>+F2575</f>
        <v>132</v>
      </c>
      <c r="L2575" s="290" t="s">
        <v>9</v>
      </c>
      <c r="M2575" s="1910"/>
      <c r="N2575" s="566"/>
      <c r="O2575" s="391"/>
      <c r="P2575" s="393"/>
    </row>
    <row r="2576" spans="1:21" ht="30" customHeight="1" thickBot="1" x14ac:dyDescent="0.3">
      <c r="A2576" s="61"/>
      <c r="B2576" s="191"/>
      <c r="C2576" s="191"/>
      <c r="D2576" s="191"/>
      <c r="E2576" s="297"/>
      <c r="F2576" s="298"/>
      <c r="G2576" s="298"/>
      <c r="H2576" s="299"/>
      <c r="I2576" s="18"/>
      <c r="J2576" s="185" t="s">
        <v>358</v>
      </c>
      <c r="K2576" s="301">
        <f>+K2575</f>
        <v>132</v>
      </c>
      <c r="L2576" s="20" t="s">
        <v>9</v>
      </c>
      <c r="M2576" s="1910"/>
      <c r="N2576" s="566"/>
      <c r="O2576" s="391"/>
      <c r="P2576" s="393"/>
    </row>
    <row r="2577" spans="1:21" ht="30" customHeight="1" thickBot="1" x14ac:dyDescent="0.3">
      <c r="A2577" s="76"/>
      <c r="B2577" s="77"/>
      <c r="C2577" s="77"/>
      <c r="D2577" s="77"/>
      <c r="E2577" s="77"/>
      <c r="F2577" s="77"/>
      <c r="G2577" s="77"/>
      <c r="H2577" s="77"/>
      <c r="I2577" s="77"/>
      <c r="J2577" s="77"/>
      <c r="K2577" s="77"/>
      <c r="L2577" s="78"/>
      <c r="M2577" s="955"/>
      <c r="N2577" s="671"/>
      <c r="O2577" s="43"/>
      <c r="P2577" s="672"/>
      <c r="Q2577" s="671"/>
      <c r="R2577" s="673"/>
    </row>
    <row r="2578" spans="1:21" ht="30" customHeight="1" x14ac:dyDescent="0.25">
      <c r="A2578" s="30" t="s">
        <v>288</v>
      </c>
      <c r="B2578" s="31">
        <v>4422</v>
      </c>
      <c r="C2578" s="484" t="s">
        <v>1885</v>
      </c>
      <c r="D2578" s="485"/>
      <c r="E2578" s="177" t="s">
        <v>291</v>
      </c>
      <c r="F2578" s="178" t="s">
        <v>9</v>
      </c>
      <c r="G2578" s="123" t="s">
        <v>375</v>
      </c>
      <c r="H2578" s="769">
        <v>2780</v>
      </c>
      <c r="I2578" s="177" t="s">
        <v>292</v>
      </c>
      <c r="J2578" s="38" t="s">
        <v>526</v>
      </c>
      <c r="K2578" s="39"/>
      <c r="L2578" s="40"/>
      <c r="M2578" s="955"/>
      <c r="N2578" s="671"/>
      <c r="O2578" s="43"/>
      <c r="P2578" s="672"/>
      <c r="Q2578" s="671"/>
      <c r="R2578" s="673"/>
    </row>
    <row r="2579" spans="1:21" ht="30" customHeight="1" x14ac:dyDescent="0.25">
      <c r="A2579" s="44" t="s">
        <v>517</v>
      </c>
      <c r="B2579" s="45" t="s">
        <v>295</v>
      </c>
      <c r="C2579" s="45"/>
      <c r="D2579" s="45"/>
      <c r="E2579" s="182" t="s">
        <v>518</v>
      </c>
      <c r="F2579" s="285" t="s">
        <v>519</v>
      </c>
      <c r="G2579" s="181"/>
      <c r="H2579" s="181"/>
      <c r="I2579" s="286" t="s">
        <v>520</v>
      </c>
      <c r="J2579" s="287"/>
      <c r="K2579" s="288" t="s">
        <v>521</v>
      </c>
      <c r="L2579" s="289"/>
      <c r="M2579" s="1910"/>
      <c r="N2579" s="566"/>
      <c r="O2579" s="391"/>
      <c r="P2579" s="393"/>
    </row>
    <row r="2580" spans="1:21" ht="30" customHeight="1" x14ac:dyDescent="0.25">
      <c r="A2580" s="65">
        <v>44222</v>
      </c>
      <c r="B2580" s="52" t="s">
        <v>1886</v>
      </c>
      <c r="C2580" s="52"/>
      <c r="D2580" s="52"/>
      <c r="E2580" s="291">
        <v>2900</v>
      </c>
      <c r="F2580" s="292">
        <v>126</v>
      </c>
      <c r="G2580" s="293"/>
      <c r="H2580" s="294"/>
      <c r="I2580" s="295">
        <f>+'MILCON Inflation Table'!F15</f>
        <v>0.9813542688910698</v>
      </c>
      <c r="J2580" s="296"/>
      <c r="K2580" s="292">
        <f>+F2580*I2580</f>
        <v>123.6506378802748</v>
      </c>
      <c r="L2580" s="290" t="s">
        <v>9</v>
      </c>
      <c r="M2580" s="1910"/>
      <c r="N2580" s="566"/>
      <c r="O2580" s="391"/>
      <c r="P2580" s="393"/>
    </row>
    <row r="2581" spans="1:21" ht="30" customHeight="1" thickBot="1" x14ac:dyDescent="0.3">
      <c r="A2581" s="61"/>
      <c r="B2581" s="192"/>
      <c r="C2581" s="192"/>
      <c r="D2581" s="192"/>
      <c r="E2581" s="297"/>
      <c r="F2581" s="298"/>
      <c r="G2581" s="298"/>
      <c r="H2581" s="299"/>
      <c r="I2581" s="18"/>
      <c r="J2581" s="185" t="s">
        <v>358</v>
      </c>
      <c r="K2581" s="301">
        <f>+K2580</f>
        <v>123.6506378802748</v>
      </c>
      <c r="L2581" s="20" t="s">
        <v>9</v>
      </c>
      <c r="M2581" s="986"/>
      <c r="O2581" s="412"/>
      <c r="P2581" s="391"/>
      <c r="Q2581" s="393"/>
    </row>
    <row r="2582" spans="1:21" ht="30" customHeight="1" thickBot="1" x14ac:dyDescent="0.3">
      <c r="A2582" s="76"/>
      <c r="B2582" s="77"/>
      <c r="C2582" s="77"/>
      <c r="D2582" s="77"/>
      <c r="E2582" s="77"/>
      <c r="F2582" s="77"/>
      <c r="G2582" s="77"/>
      <c r="H2582" s="77"/>
      <c r="I2582" s="77"/>
      <c r="J2582" s="77"/>
      <c r="K2582" s="77"/>
      <c r="L2582" s="78"/>
      <c r="M2582" s="434"/>
      <c r="O2582" s="412"/>
      <c r="P2582" s="391"/>
      <c r="Q2582" s="393"/>
    </row>
    <row r="2583" spans="1:21" ht="30" customHeight="1" x14ac:dyDescent="0.25">
      <c r="A2583" s="207" t="s">
        <v>288</v>
      </c>
      <c r="B2583" s="208">
        <v>4423</v>
      </c>
      <c r="C2583" s="209" t="s">
        <v>1887</v>
      </c>
      <c r="D2583" s="210"/>
      <c r="E2583" s="177" t="s">
        <v>291</v>
      </c>
      <c r="F2583" s="178" t="s">
        <v>9</v>
      </c>
      <c r="G2583" s="123" t="s">
        <v>375</v>
      </c>
      <c r="H2583" s="769">
        <v>2947</v>
      </c>
      <c r="I2583" s="177" t="s">
        <v>292</v>
      </c>
      <c r="J2583" s="38" t="s">
        <v>713</v>
      </c>
      <c r="K2583" s="39"/>
      <c r="L2583" s="40"/>
      <c r="M2583" s="434"/>
      <c r="O2583" s="412"/>
      <c r="P2583" s="391"/>
      <c r="Q2583" s="393"/>
    </row>
    <row r="2584" spans="1:21" ht="30" customHeight="1" x14ac:dyDescent="0.25">
      <c r="A2584" s="181" t="s">
        <v>517</v>
      </c>
      <c r="B2584" s="180" t="s">
        <v>295</v>
      </c>
      <c r="C2584" s="180"/>
      <c r="D2584" s="180"/>
      <c r="E2584" s="181" t="s">
        <v>518</v>
      </c>
      <c r="F2584" s="285" t="s">
        <v>519</v>
      </c>
      <c r="G2584" s="286"/>
      <c r="H2584" s="287"/>
      <c r="I2584" s="286" t="s">
        <v>520</v>
      </c>
      <c r="J2584" s="287"/>
      <c r="K2584" s="288" t="s">
        <v>521</v>
      </c>
      <c r="L2584" s="289"/>
      <c r="M2584" s="434"/>
      <c r="O2584" s="412"/>
      <c r="P2584" s="391"/>
      <c r="Q2584" s="393"/>
    </row>
    <row r="2585" spans="1:21" ht="30" customHeight="1" x14ac:dyDescent="0.25">
      <c r="A2585" s="147">
        <v>44135</v>
      </c>
      <c r="B2585" s="476" t="s">
        <v>1888</v>
      </c>
      <c r="C2585" s="477"/>
      <c r="D2585" s="478"/>
      <c r="E2585" s="1071">
        <v>530</v>
      </c>
      <c r="F2585" s="1275">
        <v>191</v>
      </c>
      <c r="G2585" s="1072"/>
      <c r="H2585" s="1073"/>
      <c r="I2585" s="295">
        <f>+'MILCON Inflation Table'!F16</f>
        <v>0.96211202832457809</v>
      </c>
      <c r="J2585" s="296"/>
      <c r="K2585" s="768">
        <f>+F2585*I2585</f>
        <v>183.76339740999441</v>
      </c>
      <c r="L2585" s="147" t="s">
        <v>9</v>
      </c>
      <c r="M2585" s="434"/>
      <c r="O2585" s="412"/>
      <c r="P2585" s="391"/>
      <c r="Q2585" s="393"/>
    </row>
    <row r="2586" spans="1:21" ht="30" customHeight="1" thickBot="1" x14ac:dyDescent="0.3">
      <c r="A2586" s="20"/>
      <c r="B2586" s="659" t="s">
        <v>1889</v>
      </c>
      <c r="C2586" s="659"/>
      <c r="D2586" s="659"/>
      <c r="E2586" s="297"/>
      <c r="F2586" s="298"/>
      <c r="G2586" s="298"/>
      <c r="H2586" s="299"/>
      <c r="I2586" s="18"/>
      <c r="J2586" s="185" t="s">
        <v>358</v>
      </c>
      <c r="K2586" s="305">
        <f>+K2585</f>
        <v>183.76339740999441</v>
      </c>
      <c r="L2586" s="20" t="s">
        <v>9</v>
      </c>
      <c r="M2586" s="434"/>
      <c r="O2586" s="412"/>
      <c r="P2586" s="391"/>
      <c r="Q2586" s="393"/>
    </row>
    <row r="2587" spans="1:21" ht="30" customHeight="1" thickBot="1" x14ac:dyDescent="0.3">
      <c r="A2587" s="76"/>
      <c r="B2587" s="77"/>
      <c r="C2587" s="77"/>
      <c r="D2587" s="77"/>
      <c r="E2587" s="77"/>
      <c r="F2587" s="77"/>
      <c r="G2587" s="77"/>
      <c r="H2587" s="77"/>
      <c r="I2587" s="77"/>
      <c r="J2587" s="77"/>
      <c r="K2587" s="77"/>
      <c r="L2587" s="78"/>
      <c r="M2587" s="434"/>
      <c r="O2587" s="412"/>
      <c r="P2587" s="391"/>
      <c r="Q2587" s="393"/>
    </row>
    <row r="2588" spans="1:21" ht="30" customHeight="1" x14ac:dyDescent="0.25">
      <c r="A2588" s="1276" t="s">
        <v>288</v>
      </c>
      <c r="B2588" s="414">
        <v>4424</v>
      </c>
      <c r="C2588" s="933" t="s">
        <v>1868</v>
      </c>
      <c r="D2588" s="933"/>
      <c r="E2588" s="333" t="s">
        <v>291</v>
      </c>
      <c r="F2588" s="1277" t="s">
        <v>9</v>
      </c>
      <c r="G2588" s="123" t="s">
        <v>375</v>
      </c>
      <c r="H2588" s="1167">
        <v>56152</v>
      </c>
      <c r="I2588" s="540" t="s">
        <v>292</v>
      </c>
      <c r="J2588" s="38" t="s">
        <v>1504</v>
      </c>
      <c r="K2588" s="38"/>
      <c r="L2588" s="389"/>
      <c r="M2588" s="434"/>
      <c r="O2588" s="412"/>
      <c r="P2588" s="391"/>
      <c r="Q2588" s="393"/>
    </row>
    <row r="2589" spans="1:21" ht="30" customHeight="1" x14ac:dyDescent="0.25">
      <c r="A2589" s="695" t="s">
        <v>529</v>
      </c>
      <c r="B2589" s="543" t="s">
        <v>560</v>
      </c>
      <c r="C2589" s="544"/>
      <c r="D2589" s="545"/>
      <c r="E2589" s="546" t="s">
        <v>519</v>
      </c>
      <c r="F2589" s="546" t="s">
        <v>561</v>
      </c>
      <c r="G2589" s="1278" t="s">
        <v>1890</v>
      </c>
      <c r="H2589" s="1279" t="s">
        <v>1891</v>
      </c>
      <c r="I2589" s="938" t="s">
        <v>1661</v>
      </c>
      <c r="J2589" s="424" t="s">
        <v>530</v>
      </c>
      <c r="K2589" s="288" t="s">
        <v>521</v>
      </c>
      <c r="L2589" s="289"/>
      <c r="M2589" s="434"/>
      <c r="O2589" s="412"/>
      <c r="P2589" s="391"/>
      <c r="Q2589" s="393"/>
    </row>
    <row r="2590" spans="1:21" ht="30" customHeight="1" x14ac:dyDescent="0.25">
      <c r="A2590" s="24" t="s">
        <v>1856</v>
      </c>
      <c r="B2590" s="346" t="s">
        <v>1870</v>
      </c>
      <c r="C2590" s="347"/>
      <c r="D2590" s="348"/>
      <c r="E2590" s="326">
        <v>79.39</v>
      </c>
      <c r="F2590" s="10" t="s">
        <v>9</v>
      </c>
      <c r="G2590" s="1055"/>
      <c r="H2590" s="556"/>
      <c r="I2590" s="10"/>
      <c r="J2590" s="10">
        <v>1.06</v>
      </c>
      <c r="K2590" s="326">
        <f>+E2590*J2590</f>
        <v>84.153400000000005</v>
      </c>
      <c r="L2590" s="10" t="s">
        <v>9</v>
      </c>
      <c r="M2590" s="434"/>
      <c r="N2590" s="654"/>
      <c r="O2590" s="43"/>
      <c r="P2590" s="43"/>
      <c r="Q2590" s="43"/>
      <c r="R2590" s="60"/>
      <c r="S2590" s="60"/>
      <c r="T2590" s="43"/>
    </row>
    <row r="2591" spans="1:21" ht="30" customHeight="1" x14ac:dyDescent="0.25">
      <c r="A2591" s="24" t="s">
        <v>664</v>
      </c>
      <c r="B2591" s="346" t="s">
        <v>1892</v>
      </c>
      <c r="C2591" s="347"/>
      <c r="D2591" s="348"/>
      <c r="E2591" s="326">
        <f>(19.15+29.75)/2</f>
        <v>24.45</v>
      </c>
      <c r="F2591" s="10" t="s">
        <v>1893</v>
      </c>
      <c r="G2591" s="1280">
        <f>+E2591/H2588</f>
        <v>4.3542527425559195E-4</v>
      </c>
      <c r="H2591" s="13">
        <f>6*81</f>
        <v>486</v>
      </c>
      <c r="I2591" s="1271">
        <f>+G2591*$H2591</f>
        <v>0.2116166832882177</v>
      </c>
      <c r="J2591" s="10">
        <v>1.02</v>
      </c>
      <c r="K2591" s="326">
        <f t="shared" ref="K2591:K2596" si="49">+I2591*J2591</f>
        <v>0.21584901695398206</v>
      </c>
      <c r="L2591" s="10" t="s">
        <v>9</v>
      </c>
      <c r="M2591" s="1932"/>
      <c r="N2591" s="213"/>
      <c r="P2591" s="43"/>
      <c r="Q2591" s="43"/>
      <c r="R2591" s="43"/>
      <c r="S2591" s="60"/>
      <c r="T2591" s="60"/>
      <c r="U2591" s="43"/>
    </row>
    <row r="2592" spans="1:21" s="41" customFormat="1" ht="30" customHeight="1" x14ac:dyDescent="0.25">
      <c r="A2592" s="24" t="s">
        <v>664</v>
      </c>
      <c r="B2592" s="346" t="s">
        <v>1894</v>
      </c>
      <c r="C2592" s="347"/>
      <c r="D2592" s="348"/>
      <c r="E2592" s="326">
        <f>(1610+2280)/2</f>
        <v>1945</v>
      </c>
      <c r="F2592" s="10" t="s">
        <v>11</v>
      </c>
      <c r="G2592" s="1281">
        <f>+E2592/H2588</f>
        <v>3.4638125089044021E-2</v>
      </c>
      <c r="H2592" s="13">
        <v>6</v>
      </c>
      <c r="I2592" s="1271">
        <f>+G2592*$H2592</f>
        <v>0.20782875053426414</v>
      </c>
      <c r="J2592" s="10">
        <v>1.02</v>
      </c>
      <c r="K2592" s="326">
        <f t="shared" si="49"/>
        <v>0.21198532554494942</v>
      </c>
      <c r="L2592" s="10" t="s">
        <v>9</v>
      </c>
      <c r="M2592" s="25"/>
      <c r="N2592" s="25"/>
      <c r="O2592" s="42"/>
    </row>
    <row r="2593" spans="1:21" s="49" customFormat="1" ht="30" customHeight="1" x14ac:dyDescent="0.25">
      <c r="A2593" s="24" t="s">
        <v>668</v>
      </c>
      <c r="B2593" s="323" t="s">
        <v>1873</v>
      </c>
      <c r="C2593" s="324"/>
      <c r="D2593" s="325"/>
      <c r="E2593" s="326">
        <f>+(31.5+75)/2</f>
        <v>53.25</v>
      </c>
      <c r="F2593" s="10" t="s">
        <v>11</v>
      </c>
      <c r="G2593" s="1281">
        <f>+E2593/$H$2588</f>
        <v>9.4831884883886592E-4</v>
      </c>
      <c r="H2593" s="13">
        <v>6</v>
      </c>
      <c r="I2593" s="1271">
        <f>+G2593*H2593</f>
        <v>5.6899130930331953E-3</v>
      </c>
      <c r="J2593" s="10">
        <v>1.04</v>
      </c>
      <c r="K2593" s="326">
        <f t="shared" si="49"/>
        <v>5.9175096167545229E-3</v>
      </c>
      <c r="L2593" s="10" t="s">
        <v>9</v>
      </c>
      <c r="M2593" s="502"/>
      <c r="N2593" s="502"/>
      <c r="O2593" s="27"/>
    </row>
    <row r="2594" spans="1:21" ht="30" customHeight="1" x14ac:dyDescent="0.25">
      <c r="A2594" s="24" t="s">
        <v>668</v>
      </c>
      <c r="B2594" s="334" t="s">
        <v>671</v>
      </c>
      <c r="C2594" s="335"/>
      <c r="D2594" s="336"/>
      <c r="E2594" s="326">
        <f>+(5900+11300)/2</f>
        <v>8600</v>
      </c>
      <c r="F2594" s="10" t="s">
        <v>11</v>
      </c>
      <c r="G2594" s="1281">
        <f>+E2594/$H$2588</f>
        <v>0.15315572018806098</v>
      </c>
      <c r="H2594" s="13">
        <v>6</v>
      </c>
      <c r="I2594" s="1271">
        <f>+G2594*H2594</f>
        <v>0.91893432112836582</v>
      </c>
      <c r="J2594" s="10">
        <v>1.04</v>
      </c>
      <c r="K2594" s="326">
        <f t="shared" si="49"/>
        <v>0.95569169397350051</v>
      </c>
      <c r="L2594" s="10" t="s">
        <v>9</v>
      </c>
      <c r="M2594" s="341"/>
      <c r="N2594" s="342"/>
    </row>
    <row r="2595" spans="1:21" ht="30" customHeight="1" x14ac:dyDescent="0.25">
      <c r="A2595" s="24" t="s">
        <v>668</v>
      </c>
      <c r="B2595" s="323" t="s">
        <v>1895</v>
      </c>
      <c r="C2595" s="324"/>
      <c r="D2595" s="325"/>
      <c r="E2595" s="326">
        <f>+(605+925)/2</f>
        <v>765</v>
      </c>
      <c r="F2595" s="10" t="s">
        <v>11</v>
      </c>
      <c r="G2595" s="1281">
        <f>+E2595/$H$2588</f>
        <v>1.3623735574868215E-2</v>
      </c>
      <c r="H2595" s="13">
        <v>6</v>
      </c>
      <c r="I2595" s="1271">
        <f>+G2595*H2595</f>
        <v>8.1742413449209295E-2</v>
      </c>
      <c r="J2595" s="10">
        <v>1.04</v>
      </c>
      <c r="K2595" s="326">
        <f t="shared" si="49"/>
        <v>8.5012109987177675E-2</v>
      </c>
      <c r="L2595" s="10" t="s">
        <v>9</v>
      </c>
      <c r="P2595" s="43"/>
      <c r="Q2595" s="43"/>
      <c r="R2595" s="43"/>
      <c r="S2595" s="60"/>
      <c r="T2595" s="60"/>
      <c r="U2595" s="43"/>
    </row>
    <row r="2596" spans="1:21" ht="30" customHeight="1" x14ac:dyDescent="0.25">
      <c r="A2596" s="24" t="s">
        <v>668</v>
      </c>
      <c r="B2596" s="323" t="s">
        <v>673</v>
      </c>
      <c r="C2596" s="324"/>
      <c r="D2596" s="325"/>
      <c r="E2596" s="326">
        <f>+(1060+3175)/2</f>
        <v>2117.5</v>
      </c>
      <c r="F2596" s="10" t="s">
        <v>11</v>
      </c>
      <c r="G2596" s="1281">
        <f>+E2596/$H$2588</f>
        <v>3.7710143895141761E-2</v>
      </c>
      <c r="H2596" s="13">
        <v>6</v>
      </c>
      <c r="I2596" s="1271">
        <f>+G2596*H2596</f>
        <v>0.22626086337085055</v>
      </c>
      <c r="J2596" s="10">
        <v>1.04</v>
      </c>
      <c r="K2596" s="326">
        <f t="shared" si="49"/>
        <v>0.23531129790568459</v>
      </c>
      <c r="L2596" s="10" t="s">
        <v>9</v>
      </c>
      <c r="M2596" s="43"/>
      <c r="P2596" s="43"/>
      <c r="Q2596" s="43"/>
      <c r="R2596" s="43"/>
      <c r="S2596" s="60"/>
      <c r="T2596" s="60"/>
      <c r="U2596" s="43"/>
    </row>
    <row r="2597" spans="1:21" s="41" customFormat="1" ht="30" customHeight="1" x14ac:dyDescent="0.25">
      <c r="A2597" s="24" t="s">
        <v>644</v>
      </c>
      <c r="B2597" s="323" t="s">
        <v>1896</v>
      </c>
      <c r="C2597" s="324"/>
      <c r="D2597" s="324"/>
      <c r="E2597" s="326">
        <v>2.93</v>
      </c>
      <c r="F2597" s="10" t="s">
        <v>9</v>
      </c>
      <c r="G2597" s="845"/>
      <c r="H2597" s="845"/>
      <c r="I2597" s="846"/>
      <c r="J2597" s="10">
        <v>1.06</v>
      </c>
      <c r="K2597" s="326">
        <f>+E2597*J2597</f>
        <v>3.1058000000000003</v>
      </c>
      <c r="L2597" s="6" t="s">
        <v>9</v>
      </c>
      <c r="M2597" s="25"/>
      <c r="N2597" s="25"/>
      <c r="O2597" s="42"/>
    </row>
    <row r="2598" spans="1:21" s="49" customFormat="1" ht="30" customHeight="1" x14ac:dyDescent="0.25">
      <c r="A2598" s="24"/>
      <c r="B2598" s="701"/>
      <c r="C2598" s="701"/>
      <c r="D2598" s="701"/>
      <c r="E2598" s="326"/>
      <c r="F2598" s="845"/>
      <c r="G2598" s="845"/>
      <c r="H2598" s="846"/>
      <c r="I2598" s="10"/>
      <c r="J2598" s="10" t="s">
        <v>578</v>
      </c>
      <c r="K2598" s="326">
        <f>SUM(K2590:K2597)</f>
        <v>88.968966953982047</v>
      </c>
      <c r="L2598" s="6" t="s">
        <v>9</v>
      </c>
      <c r="M2598" s="502"/>
      <c r="N2598" s="502"/>
      <c r="O2598" s="27"/>
    </row>
    <row r="2599" spans="1:21" ht="30" customHeight="1" x14ac:dyDescent="0.25">
      <c r="A2599" s="61"/>
      <c r="B2599" s="410"/>
      <c r="C2599" s="410"/>
      <c r="D2599" s="410"/>
      <c r="E2599" s="410"/>
      <c r="F2599" s="338" t="s">
        <v>533</v>
      </c>
      <c r="G2599" s="339" t="s">
        <v>534</v>
      </c>
      <c r="H2599" s="339"/>
      <c r="I2599" s="339"/>
      <c r="J2599" s="339"/>
      <c r="K2599" s="886">
        <v>1.0900000000000001</v>
      </c>
      <c r="L2599" s="10"/>
      <c r="M2599" s="341"/>
      <c r="N2599" s="342"/>
    </row>
    <row r="2600" spans="1:21" ht="30" customHeight="1" x14ac:dyDescent="0.25">
      <c r="A2600" s="61"/>
      <c r="B2600" s="410"/>
      <c r="C2600" s="410"/>
      <c r="D2600" s="410"/>
      <c r="E2600" s="410"/>
      <c r="F2600" s="343"/>
      <c r="G2600" s="344" t="s">
        <v>535</v>
      </c>
      <c r="H2600" s="344"/>
      <c r="I2600" s="344"/>
      <c r="J2600" s="344"/>
      <c r="K2600" s="340">
        <v>1.02</v>
      </c>
      <c r="L2600" s="10"/>
      <c r="P2600" s="43"/>
      <c r="Q2600" s="43"/>
      <c r="R2600" s="43"/>
      <c r="S2600" s="60"/>
      <c r="T2600" s="60"/>
      <c r="U2600" s="43"/>
    </row>
    <row r="2601" spans="1:21" ht="30" customHeight="1" x14ac:dyDescent="0.25">
      <c r="A2601" s="24"/>
      <c r="B2601" s="10"/>
      <c r="C2601" s="13"/>
      <c r="D2601" s="13"/>
      <c r="E2601" s="13"/>
      <c r="F2601" s="13"/>
      <c r="G2601" s="13"/>
      <c r="H2601" s="13"/>
      <c r="I2601" s="13"/>
      <c r="J2601" s="13" t="s">
        <v>358</v>
      </c>
      <c r="K2601" s="14">
        <f>+K2598*K2599/K2600</f>
        <v>95.074680372392592</v>
      </c>
      <c r="L2601" s="6" t="s">
        <v>9</v>
      </c>
      <c r="M2601" s="43"/>
      <c r="P2601" s="43"/>
      <c r="Q2601" s="43"/>
      <c r="R2601" s="43"/>
      <c r="S2601" s="60"/>
      <c r="T2601" s="60"/>
      <c r="U2601" s="43"/>
    </row>
    <row r="2602" spans="1:21" ht="30" customHeight="1" x14ac:dyDescent="0.25">
      <c r="A2602" s="24"/>
      <c r="B2602" s="24"/>
      <c r="C2602" s="64"/>
      <c r="D2602" s="64"/>
      <c r="E2602" s="64"/>
      <c r="G2602" s="64"/>
      <c r="H2602" s="64"/>
      <c r="I2602" s="1171" t="s">
        <v>652</v>
      </c>
      <c r="J2602" s="447">
        <f>VLOOKUP(B2588,'Mil Cost Premiums for RUCs'!$A$4:$R$265,18,FALSE)</f>
        <v>1.168693068754227</v>
      </c>
      <c r="K2602" s="17">
        <f>+K2601*J2602</f>
        <v>111.11311996523877</v>
      </c>
      <c r="L2602" s="826" t="s">
        <v>9</v>
      </c>
      <c r="M2602" s="1881"/>
      <c r="N2602" s="1270"/>
      <c r="U2602" s="43"/>
    </row>
    <row r="2603" spans="1:21" s="49" customFormat="1" ht="75" customHeight="1" x14ac:dyDescent="0.25">
      <c r="A2603" s="854" t="s">
        <v>538</v>
      </c>
      <c r="B2603" s="709"/>
      <c r="C2603" s="709"/>
      <c r="D2603" s="709"/>
      <c r="E2603" s="709"/>
      <c r="F2603" s="709"/>
      <c r="G2603" s="709"/>
      <c r="H2603" s="709"/>
      <c r="I2603" s="709"/>
      <c r="J2603" s="709"/>
      <c r="K2603" s="709"/>
      <c r="L2603" s="710"/>
      <c r="M2603" s="502"/>
      <c r="N2603" s="502"/>
      <c r="O2603" s="27"/>
      <c r="P2603" s="50"/>
      <c r="Q2603" s="50"/>
      <c r="R2603" s="50"/>
      <c r="S2603" s="212"/>
      <c r="T2603" s="212"/>
    </row>
    <row r="2604" spans="1:21" ht="30" customHeight="1" x14ac:dyDescent="0.25">
      <c r="A2604" s="217" t="s">
        <v>539</v>
      </c>
      <c r="B2604" s="218"/>
      <c r="C2604" s="219"/>
      <c r="D2604" s="386" t="s">
        <v>1897</v>
      </c>
      <c r="E2604" s="849"/>
      <c r="F2604" s="849"/>
      <c r="G2604" s="849"/>
      <c r="H2604" s="849"/>
      <c r="I2604" s="849"/>
      <c r="J2604" s="849"/>
      <c r="K2604" s="849"/>
      <c r="L2604" s="850"/>
      <c r="P2604" s="43"/>
      <c r="Q2604" s="43"/>
      <c r="R2604" s="43"/>
      <c r="S2604" s="60"/>
      <c r="T2604" s="60"/>
    </row>
    <row r="2605" spans="1:21" ht="30" customHeight="1" x14ac:dyDescent="0.25">
      <c r="A2605" s="217" t="s">
        <v>541</v>
      </c>
      <c r="B2605" s="218"/>
      <c r="C2605" s="219"/>
      <c r="D2605" s="386" t="s">
        <v>1898</v>
      </c>
      <c r="E2605" s="849"/>
      <c r="F2605" s="849"/>
      <c r="G2605" s="849"/>
      <c r="H2605" s="849"/>
      <c r="I2605" s="849"/>
      <c r="J2605" s="849"/>
      <c r="K2605" s="849"/>
      <c r="L2605" s="850"/>
      <c r="M2605" s="1881"/>
      <c r="N2605" s="1270"/>
      <c r="O2605"/>
      <c r="P2605" s="412"/>
      <c r="Q2605" s="391"/>
      <c r="R2605" s="393"/>
    </row>
    <row r="2606" spans="1:21" ht="30" customHeight="1" x14ac:dyDescent="0.25">
      <c r="A2606" s="217" t="s">
        <v>543</v>
      </c>
      <c r="B2606" s="218"/>
      <c r="C2606" s="219"/>
      <c r="D2606" s="386" t="s">
        <v>1899</v>
      </c>
      <c r="E2606" s="849"/>
      <c r="F2606" s="849"/>
      <c r="G2606" s="849"/>
      <c r="H2606" s="849"/>
      <c r="I2606" s="849"/>
      <c r="J2606" s="849"/>
      <c r="K2606" s="849"/>
      <c r="L2606" s="850"/>
      <c r="M2606" s="43"/>
      <c r="O2606"/>
      <c r="P2606" s="412"/>
      <c r="Q2606" s="391"/>
      <c r="R2606" s="393"/>
    </row>
    <row r="2607" spans="1:21" ht="30" customHeight="1" x14ac:dyDescent="0.25">
      <c r="A2607" s="217" t="s">
        <v>546</v>
      </c>
      <c r="B2607" s="218"/>
      <c r="C2607" s="219"/>
      <c r="D2607" s="386" t="s">
        <v>1900</v>
      </c>
      <c r="E2607" s="849"/>
      <c r="F2607" s="849"/>
      <c r="G2607" s="849"/>
      <c r="H2607" s="849"/>
      <c r="I2607" s="849"/>
      <c r="J2607" s="849"/>
      <c r="K2607" s="849"/>
      <c r="L2607" s="850"/>
      <c r="M2607" s="420"/>
      <c r="O2607" s="412"/>
      <c r="P2607" s="391"/>
      <c r="Q2607" s="393"/>
    </row>
    <row r="2608" spans="1:21" s="49" customFormat="1" ht="75" customHeight="1" x14ac:dyDescent="0.25">
      <c r="A2608" s="217" t="s">
        <v>548</v>
      </c>
      <c r="B2608" s="218"/>
      <c r="C2608" s="219"/>
      <c r="D2608" s="577" t="s">
        <v>1901</v>
      </c>
      <c r="E2608" s="578"/>
      <c r="F2608" s="578"/>
      <c r="G2608" s="578"/>
      <c r="H2608" s="578"/>
      <c r="I2608" s="578"/>
      <c r="J2608" s="578"/>
      <c r="K2608" s="578"/>
      <c r="L2608" s="579"/>
      <c r="M2608" s="420"/>
      <c r="N2608" s="502"/>
      <c r="O2608" s="412"/>
      <c r="P2608" s="391"/>
      <c r="Q2608" s="393"/>
    </row>
    <row r="2609" spans="1:18" ht="30" customHeight="1" x14ac:dyDescent="0.25">
      <c r="A2609" s="217" t="s">
        <v>550</v>
      </c>
      <c r="B2609" s="218"/>
      <c r="C2609" s="219"/>
      <c r="D2609" s="386" t="s">
        <v>679</v>
      </c>
      <c r="E2609" s="849"/>
      <c r="F2609" s="849"/>
      <c r="G2609" s="849"/>
      <c r="H2609" s="849"/>
      <c r="I2609" s="849"/>
      <c r="J2609" s="849"/>
      <c r="K2609" s="849"/>
      <c r="L2609" s="850"/>
      <c r="M2609" s="420"/>
      <c r="O2609" s="412"/>
      <c r="P2609" s="391"/>
      <c r="Q2609" s="393"/>
    </row>
    <row r="2610" spans="1:18" ht="30" customHeight="1" x14ac:dyDescent="0.25">
      <c r="A2610" s="217" t="s">
        <v>552</v>
      </c>
      <c r="B2610" s="218"/>
      <c r="C2610" s="219"/>
      <c r="D2610" s="386" t="s">
        <v>1881</v>
      </c>
      <c r="E2610" s="849"/>
      <c r="F2610" s="849"/>
      <c r="G2610" s="849"/>
      <c r="H2610" s="849"/>
      <c r="I2610" s="849"/>
      <c r="J2610" s="849"/>
      <c r="K2610" s="849"/>
      <c r="L2610" s="850"/>
      <c r="O2610" s="412"/>
      <c r="P2610" s="391"/>
      <c r="Q2610" s="393"/>
    </row>
    <row r="2611" spans="1:18" ht="30" customHeight="1" x14ac:dyDescent="0.25">
      <c r="A2611" s="217" t="s">
        <v>553</v>
      </c>
      <c r="B2611" s="218"/>
      <c r="C2611" s="219"/>
      <c r="D2611" s="386" t="s">
        <v>660</v>
      </c>
      <c r="E2611" s="849"/>
      <c r="F2611" s="849"/>
      <c r="G2611" s="849"/>
      <c r="H2611" s="849"/>
      <c r="I2611" s="849"/>
      <c r="J2611" s="849"/>
      <c r="K2611" s="849"/>
      <c r="L2611" s="850"/>
      <c r="M2611" s="420"/>
      <c r="O2611" s="412"/>
      <c r="P2611" s="391"/>
      <c r="Q2611" s="393"/>
    </row>
    <row r="2612" spans="1:18" ht="93" customHeight="1" thickBot="1" x14ac:dyDescent="0.3">
      <c r="A2612" s="1282" t="s">
        <v>556</v>
      </c>
      <c r="B2612" s="1283"/>
      <c r="C2612" s="1284"/>
      <c r="D2612" s="960" t="s">
        <v>3403</v>
      </c>
      <c r="E2612" s="961"/>
      <c r="F2612" s="961"/>
      <c r="G2612" s="961"/>
      <c r="H2612" s="961"/>
      <c r="I2612" s="961"/>
      <c r="J2612" s="961"/>
      <c r="K2612" s="961"/>
      <c r="L2612" s="1017"/>
      <c r="M2612" s="420"/>
      <c r="O2612" s="412"/>
      <c r="P2612" s="391"/>
      <c r="Q2612" s="393"/>
    </row>
    <row r="2613" spans="1:18" ht="30" customHeight="1" thickBot="1" x14ac:dyDescent="0.3">
      <c r="A2613" s="76"/>
      <c r="B2613" s="77"/>
      <c r="C2613" s="77"/>
      <c r="D2613" s="77"/>
      <c r="E2613" s="77"/>
      <c r="F2613" s="77"/>
      <c r="G2613" s="77"/>
      <c r="H2613" s="77"/>
      <c r="I2613" s="77"/>
      <c r="J2613" s="77"/>
      <c r="K2613" s="77"/>
      <c r="L2613" s="78"/>
      <c r="M2613" s="420"/>
      <c r="O2613" s="412"/>
      <c r="P2613" s="391"/>
      <c r="Q2613" s="393"/>
    </row>
    <row r="2614" spans="1:18" ht="30" customHeight="1" x14ac:dyDescent="0.25">
      <c r="A2614" s="30" t="s">
        <v>288</v>
      </c>
      <c r="B2614" s="208">
        <v>4425</v>
      </c>
      <c r="C2614" s="209" t="s">
        <v>1902</v>
      </c>
      <c r="D2614" s="210"/>
      <c r="E2614" s="177" t="s">
        <v>291</v>
      </c>
      <c r="F2614" s="178" t="s">
        <v>9</v>
      </c>
      <c r="G2614" s="123" t="s">
        <v>375</v>
      </c>
      <c r="H2614" s="539">
        <v>8034</v>
      </c>
      <c r="I2614" s="177" t="s">
        <v>292</v>
      </c>
      <c r="J2614" s="38" t="s">
        <v>1504</v>
      </c>
      <c r="K2614" s="38"/>
      <c r="L2614" s="389"/>
      <c r="M2614" s="420"/>
      <c r="O2614" s="412"/>
      <c r="P2614" s="391"/>
      <c r="Q2614" s="393"/>
    </row>
    <row r="2615" spans="1:18" ht="30" customHeight="1" x14ac:dyDescent="0.25">
      <c r="A2615" s="48" t="s">
        <v>529</v>
      </c>
      <c r="B2615" s="394" t="s">
        <v>560</v>
      </c>
      <c r="C2615" s="395"/>
      <c r="D2615" s="396"/>
      <c r="E2615" s="397" t="s">
        <v>519</v>
      </c>
      <c r="F2615" s="397" t="s">
        <v>561</v>
      </c>
      <c r="G2615" s="398" t="s">
        <v>562</v>
      </c>
      <c r="H2615" s="399"/>
      <c r="I2615" s="181" t="s">
        <v>530</v>
      </c>
      <c r="J2615" s="181"/>
      <c r="K2615" s="288" t="s">
        <v>521</v>
      </c>
      <c r="L2615" s="289"/>
      <c r="M2615" s="420"/>
      <c r="O2615" s="412"/>
      <c r="P2615" s="391"/>
      <c r="Q2615" s="393"/>
    </row>
    <row r="2616" spans="1:18" ht="30" customHeight="1" x14ac:dyDescent="0.25">
      <c r="A2616" s="61" t="s">
        <v>1903</v>
      </c>
      <c r="B2616" s="503" t="s">
        <v>1904</v>
      </c>
      <c r="C2616" s="504"/>
      <c r="D2616" s="505"/>
      <c r="E2616" s="405">
        <v>72.599999999999994</v>
      </c>
      <c r="F2616" s="20" t="s">
        <v>9</v>
      </c>
      <c r="G2616" s="522"/>
      <c r="H2616" s="20"/>
      <c r="I2616" s="20">
        <v>1.06</v>
      </c>
      <c r="J2616" s="20"/>
      <c r="K2616" s="405">
        <f>+E2616*I2616</f>
        <v>76.956000000000003</v>
      </c>
      <c r="L2616" s="20" t="s">
        <v>9</v>
      </c>
      <c r="M2616" s="420"/>
      <c r="O2616" s="412"/>
      <c r="P2616" s="391"/>
      <c r="Q2616" s="393"/>
    </row>
    <row r="2617" spans="1:18" ht="30" customHeight="1" x14ac:dyDescent="0.25">
      <c r="A2617" s="61" t="s">
        <v>644</v>
      </c>
      <c r="B2617" s="503" t="s">
        <v>1716</v>
      </c>
      <c r="C2617" s="504"/>
      <c r="D2617" s="504"/>
      <c r="E2617" s="405">
        <v>3.06</v>
      </c>
      <c r="F2617" s="20" t="s">
        <v>9</v>
      </c>
      <c r="G2617" s="838"/>
      <c r="H2617" s="754"/>
      <c r="I2617" s="20">
        <v>1.06</v>
      </c>
      <c r="J2617" s="20"/>
      <c r="K2617" s="405">
        <f>+E2617*I2617</f>
        <v>3.2436000000000003</v>
      </c>
      <c r="L2617" s="20" t="s">
        <v>9</v>
      </c>
      <c r="M2617" s="420"/>
      <c r="O2617" s="412"/>
      <c r="P2617" s="391"/>
      <c r="Q2617" s="393"/>
    </row>
    <row r="2618" spans="1:18" ht="30" customHeight="1" x14ac:dyDescent="0.25">
      <c r="A2618" s="61"/>
      <c r="B2618" s="402"/>
      <c r="C2618" s="403"/>
      <c r="D2618" s="404"/>
      <c r="E2618" s="405"/>
      <c r="F2618" s="730"/>
      <c r="G2618" s="838"/>
      <c r="H2618" s="754"/>
      <c r="I2618" s="20"/>
      <c r="J2618" s="20" t="s">
        <v>578</v>
      </c>
      <c r="K2618" s="405">
        <f>SUM(K2616:K2617)</f>
        <v>80.199600000000004</v>
      </c>
      <c r="L2618" s="20" t="s">
        <v>9</v>
      </c>
      <c r="M2618" s="670"/>
      <c r="N2618" s="671"/>
      <c r="O2618" s="43"/>
      <c r="P2618" s="672"/>
      <c r="Q2618" s="671"/>
      <c r="R2618" s="673"/>
    </row>
    <row r="2619" spans="1:18" ht="30" customHeight="1" x14ac:dyDescent="0.25">
      <c r="A2619" s="61"/>
      <c r="B2619" s="1285" t="s">
        <v>1905</v>
      </c>
      <c r="C2619" s="1286"/>
      <c r="D2619" s="1287"/>
      <c r="E2619" s="405"/>
      <c r="F2619" s="338" t="s">
        <v>533</v>
      </c>
      <c r="G2619" s="339" t="s">
        <v>534</v>
      </c>
      <c r="H2619" s="339"/>
      <c r="I2619" s="339"/>
      <c r="J2619" s="339"/>
      <c r="K2619" s="751">
        <v>1.0900000000000001</v>
      </c>
      <c r="L2619" s="10"/>
      <c r="M2619" s="670"/>
      <c r="N2619" s="671"/>
      <c r="O2619" s="43"/>
      <c r="P2619" s="672"/>
      <c r="Q2619" s="671"/>
      <c r="R2619" s="673"/>
    </row>
    <row r="2620" spans="1:18" ht="30" customHeight="1" x14ac:dyDescent="0.25">
      <c r="A2620" s="61"/>
      <c r="B2620" s="556"/>
      <c r="C2620" s="556"/>
      <c r="D2620" s="556"/>
      <c r="E2620" s="405"/>
      <c r="F2620" s="343"/>
      <c r="G2620" s="344" t="s">
        <v>535</v>
      </c>
      <c r="H2620" s="344"/>
      <c r="I2620" s="344"/>
      <c r="J2620" s="344"/>
      <c r="K2620" s="340">
        <v>1.02</v>
      </c>
      <c r="L2620" s="10"/>
      <c r="M2620" s="420"/>
      <c r="O2620" s="412"/>
      <c r="P2620" s="391"/>
      <c r="Q2620" s="393"/>
    </row>
    <row r="2621" spans="1:18" ht="30" customHeight="1" x14ac:dyDescent="0.25">
      <c r="A2621" s="61"/>
      <c r="B2621" s="20"/>
      <c r="C2621" s="18"/>
      <c r="D2621" s="18"/>
      <c r="E2621" s="18"/>
      <c r="F2621" s="18"/>
      <c r="G2621" s="18"/>
      <c r="H2621" s="18"/>
      <c r="I2621" s="18"/>
      <c r="J2621" s="20" t="s">
        <v>358</v>
      </c>
      <c r="K2621" s="23">
        <f>+K2618*K2619/K2620</f>
        <v>85.703494117647068</v>
      </c>
      <c r="L2621" s="20" t="s">
        <v>9</v>
      </c>
      <c r="M2621" s="420"/>
      <c r="O2621" s="412"/>
      <c r="P2621" s="391"/>
      <c r="Q2621" s="393"/>
    </row>
    <row r="2622" spans="1:18" ht="30" customHeight="1" thickBot="1" x14ac:dyDescent="0.3">
      <c r="A2622" s="61"/>
      <c r="B2622" s="20"/>
      <c r="C2622" s="18"/>
      <c r="D2622" s="18"/>
      <c r="E2622" s="18"/>
      <c r="F2622" s="18"/>
      <c r="G2622" s="13"/>
      <c r="H2622" s="18"/>
      <c r="I2622" s="1245" t="s">
        <v>537</v>
      </c>
      <c r="J2622" s="361">
        <f>VLOOKUP(B2614,'Mil Cost Premiums for RUCs'!$A$4:$R$265,18,FALSE)</f>
        <v>1.1255953609601996</v>
      </c>
      <c r="K2622" s="23">
        <f>+K2621*J2622</f>
        <v>96.467455396903304</v>
      </c>
      <c r="L2622" s="20" t="s">
        <v>9</v>
      </c>
      <c r="M2622" s="434"/>
      <c r="N2622" s="420"/>
      <c r="O2622"/>
      <c r="P2622" s="412"/>
      <c r="Q2622" s="391"/>
      <c r="R2622" s="393"/>
    </row>
    <row r="2623" spans="1:18" ht="30" customHeight="1" thickBot="1" x14ac:dyDescent="0.3">
      <c r="A2623" s="76"/>
      <c r="B2623" s="77"/>
      <c r="C2623" s="77"/>
      <c r="D2623" s="77"/>
      <c r="E2623" s="77"/>
      <c r="F2623" s="77"/>
      <c r="G2623" s="77"/>
      <c r="H2623" s="77"/>
      <c r="I2623" s="77"/>
      <c r="J2623" s="77"/>
      <c r="K2623" s="77"/>
      <c r="L2623" s="78"/>
      <c r="M2623" s="434"/>
      <c r="N2623" s="420"/>
      <c r="O2623"/>
      <c r="P2623" s="412"/>
      <c r="Q2623" s="391"/>
      <c r="R2623" s="393"/>
    </row>
    <row r="2624" spans="1:18" ht="30" customHeight="1" x14ac:dyDescent="0.25">
      <c r="A2624" s="30" t="s">
        <v>288</v>
      </c>
      <c r="B2624" s="208">
        <v>4426</v>
      </c>
      <c r="C2624" s="209" t="s">
        <v>1906</v>
      </c>
      <c r="D2624" s="210"/>
      <c r="E2624" s="177" t="s">
        <v>291</v>
      </c>
      <c r="F2624" s="178" t="s">
        <v>9</v>
      </c>
      <c r="G2624" s="123" t="s">
        <v>375</v>
      </c>
      <c r="H2624" s="539">
        <v>11891</v>
      </c>
      <c r="I2624" s="177" t="s">
        <v>292</v>
      </c>
      <c r="J2624" s="38" t="s">
        <v>1504</v>
      </c>
      <c r="K2624" s="38"/>
      <c r="L2624" s="389"/>
      <c r="M2624" s="434"/>
      <c r="N2624" s="420"/>
      <c r="O2624"/>
      <c r="P2624" s="412"/>
      <c r="Q2624" s="391"/>
      <c r="R2624" s="393"/>
    </row>
    <row r="2625" spans="1:18" ht="30" customHeight="1" x14ac:dyDescent="0.25">
      <c r="A2625" s="48" t="s">
        <v>529</v>
      </c>
      <c r="B2625" s="394" t="s">
        <v>560</v>
      </c>
      <c r="C2625" s="395"/>
      <c r="D2625" s="396"/>
      <c r="E2625" s="397" t="s">
        <v>519</v>
      </c>
      <c r="F2625" s="397" t="s">
        <v>561</v>
      </c>
      <c r="G2625" s="398" t="s">
        <v>562</v>
      </c>
      <c r="H2625" s="399"/>
      <c r="I2625" s="181" t="s">
        <v>530</v>
      </c>
      <c r="J2625" s="181"/>
      <c r="K2625" s="288" t="s">
        <v>521</v>
      </c>
      <c r="L2625" s="289"/>
      <c r="M2625" s="434"/>
      <c r="N2625" s="420"/>
      <c r="O2625"/>
      <c r="P2625" s="412"/>
      <c r="Q2625" s="391"/>
      <c r="R2625" s="393"/>
    </row>
    <row r="2626" spans="1:18" ht="30" customHeight="1" x14ac:dyDescent="0.25">
      <c r="A2626" s="61" t="s">
        <v>1907</v>
      </c>
      <c r="B2626" s="186" t="s">
        <v>1908</v>
      </c>
      <c r="C2626" s="186"/>
      <c r="D2626" s="186"/>
      <c r="E2626" s="405">
        <v>22.3</v>
      </c>
      <c r="F2626" s="20" t="s">
        <v>9</v>
      </c>
      <c r="G2626" s="522"/>
      <c r="H2626" s="20"/>
      <c r="I2626" s="20">
        <v>1.03</v>
      </c>
      <c r="J2626" s="20"/>
      <c r="K2626" s="405">
        <f>+E2626*I2626</f>
        <v>22.969000000000001</v>
      </c>
      <c r="L2626" s="20" t="s">
        <v>9</v>
      </c>
      <c r="M2626" s="434"/>
      <c r="N2626" s="420"/>
      <c r="O2626"/>
      <c r="P2626" s="412"/>
      <c r="Q2626" s="391"/>
      <c r="R2626" s="393"/>
    </row>
    <row r="2627" spans="1:18" ht="30" customHeight="1" x14ac:dyDescent="0.25">
      <c r="A2627" s="61"/>
      <c r="B2627" s="410"/>
      <c r="C2627" s="410"/>
      <c r="D2627" s="410"/>
      <c r="E2627" s="405"/>
      <c r="F2627" s="338" t="s">
        <v>533</v>
      </c>
      <c r="G2627" s="339" t="s">
        <v>534</v>
      </c>
      <c r="H2627" s="339"/>
      <c r="I2627" s="339"/>
      <c r="J2627" s="339"/>
      <c r="K2627" s="751">
        <v>1.05</v>
      </c>
      <c r="L2627" s="10"/>
      <c r="M2627" s="434"/>
      <c r="N2627" s="420"/>
      <c r="O2627"/>
      <c r="P2627" s="412"/>
      <c r="Q2627" s="391"/>
      <c r="R2627" s="393"/>
    </row>
    <row r="2628" spans="1:18" ht="30" customHeight="1" x14ac:dyDescent="0.25">
      <c r="A2628" s="61"/>
      <c r="B2628" s="410"/>
      <c r="C2628" s="410"/>
      <c r="D2628" s="410"/>
      <c r="E2628" s="405"/>
      <c r="F2628" s="343"/>
      <c r="G2628" s="344" t="s">
        <v>535</v>
      </c>
      <c r="H2628" s="344"/>
      <c r="I2628" s="344"/>
      <c r="J2628" s="344"/>
      <c r="K2628" s="340">
        <v>1.02</v>
      </c>
      <c r="L2628" s="10"/>
      <c r="M2628" s="434"/>
      <c r="N2628" s="420"/>
      <c r="O2628"/>
      <c r="P2628" s="412"/>
      <c r="Q2628" s="391"/>
      <c r="R2628" s="393"/>
    </row>
    <row r="2629" spans="1:18" ht="30" customHeight="1" x14ac:dyDescent="0.25">
      <c r="A2629" s="61"/>
      <c r="B2629" s="20"/>
      <c r="C2629" s="18"/>
      <c r="D2629" s="18"/>
      <c r="E2629" s="18"/>
      <c r="F2629" s="18"/>
      <c r="G2629" s="18"/>
      <c r="H2629" s="18"/>
      <c r="I2629" s="18"/>
      <c r="J2629" s="18" t="s">
        <v>358</v>
      </c>
      <c r="K2629" s="23">
        <f>+K2626*K2627/K2628</f>
        <v>23.644558823529412</v>
      </c>
      <c r="L2629" s="20" t="s">
        <v>9</v>
      </c>
      <c r="M2629" s="434"/>
      <c r="N2629" s="420"/>
      <c r="O2629"/>
      <c r="P2629" s="412"/>
      <c r="Q2629" s="391"/>
      <c r="R2629" s="393"/>
    </row>
    <row r="2630" spans="1:18" ht="30" customHeight="1" thickBot="1" x14ac:dyDescent="0.3">
      <c r="A2630" s="61"/>
      <c r="B2630" s="20"/>
      <c r="C2630" s="18"/>
      <c r="D2630" s="18"/>
      <c r="E2630" s="18"/>
      <c r="F2630" s="18"/>
      <c r="G2630" s="413" t="s">
        <v>537</v>
      </c>
      <c r="H2630" s="18"/>
      <c r="I2630" s="18"/>
      <c r="J2630" s="361">
        <f>VLOOKUP(B2624,'Mil Cost Premiums for RUCs'!$A$4:$R$265,18,FALSE)</f>
        <v>1.0905505199999999</v>
      </c>
      <c r="K2630" s="23">
        <f>+K2629*J2630</f>
        <v>25.785585920170586</v>
      </c>
      <c r="L2630" s="20" t="s">
        <v>9</v>
      </c>
      <c r="M2630" s="434"/>
      <c r="N2630" s="420"/>
      <c r="O2630"/>
      <c r="P2630" s="412"/>
      <c r="Q2630" s="391"/>
      <c r="R2630" s="393"/>
    </row>
    <row r="2631" spans="1:18" ht="30" customHeight="1" thickBot="1" x14ac:dyDescent="0.3">
      <c r="A2631" s="76"/>
      <c r="B2631" s="77"/>
      <c r="C2631" s="77"/>
      <c r="D2631" s="77"/>
      <c r="E2631" s="77"/>
      <c r="F2631" s="77"/>
      <c r="G2631" s="77"/>
      <c r="H2631" s="77"/>
      <c r="I2631" s="77"/>
      <c r="J2631" s="77"/>
      <c r="K2631" s="77"/>
      <c r="L2631" s="78"/>
      <c r="M2631" s="434"/>
      <c r="N2631" s="420"/>
      <c r="O2631"/>
      <c r="P2631" s="412"/>
      <c r="Q2631" s="391"/>
      <c r="R2631" s="393"/>
    </row>
    <row r="2632" spans="1:18" ht="30" customHeight="1" x14ac:dyDescent="0.25">
      <c r="A2632" s="30" t="s">
        <v>288</v>
      </c>
      <c r="B2632" s="31">
        <v>4427</v>
      </c>
      <c r="C2632" s="484" t="s">
        <v>1909</v>
      </c>
      <c r="D2632" s="485"/>
      <c r="E2632" s="36" t="s">
        <v>291</v>
      </c>
      <c r="F2632" s="37" t="s">
        <v>9</v>
      </c>
      <c r="G2632" s="123" t="s">
        <v>375</v>
      </c>
      <c r="H2632" s="761">
        <v>5141</v>
      </c>
      <c r="I2632" s="36" t="s">
        <v>292</v>
      </c>
      <c r="J2632" s="38" t="s">
        <v>1910</v>
      </c>
      <c r="K2632" s="39"/>
      <c r="L2632" s="40"/>
      <c r="M2632" s="419"/>
      <c r="N2632" s="420"/>
      <c r="O2632"/>
      <c r="P2632" s="412"/>
      <c r="Q2632" s="391"/>
      <c r="R2632" s="393"/>
    </row>
    <row r="2633" spans="1:18" ht="30" customHeight="1" x14ac:dyDescent="0.25">
      <c r="A2633" s="44" t="s">
        <v>517</v>
      </c>
      <c r="B2633" s="45" t="s">
        <v>295</v>
      </c>
      <c r="C2633" s="45"/>
      <c r="D2633" s="45"/>
      <c r="E2633" s="46" t="s">
        <v>518</v>
      </c>
      <c r="F2633" s="715" t="s">
        <v>519</v>
      </c>
      <c r="G2633" s="44"/>
      <c r="H2633" s="44"/>
      <c r="I2633" s="286" t="s">
        <v>3387</v>
      </c>
      <c r="J2633" s="287"/>
      <c r="K2633" s="507" t="s">
        <v>521</v>
      </c>
      <c r="L2633" s="508"/>
      <c r="M2633" s="419"/>
      <c r="N2633" s="420"/>
      <c r="O2633"/>
      <c r="P2633" s="412"/>
      <c r="Q2633" s="391"/>
      <c r="R2633" s="393"/>
    </row>
    <row r="2634" spans="1:18" s="49" customFormat="1" ht="30" customHeight="1" x14ac:dyDescent="0.25">
      <c r="A2634" s="65" t="s">
        <v>522</v>
      </c>
      <c r="B2634" s="52" t="s">
        <v>1911</v>
      </c>
      <c r="C2634" s="52"/>
      <c r="D2634" s="52"/>
      <c r="E2634" s="1288">
        <v>21000</v>
      </c>
      <c r="F2634" s="1289">
        <v>243</v>
      </c>
      <c r="G2634" s="785"/>
      <c r="H2634" s="1021"/>
      <c r="I2634" s="295">
        <f>+'MILCON Inflation Table'!F13</f>
        <v>1.0397823869432166</v>
      </c>
      <c r="J2634" s="296"/>
      <c r="K2634" s="1289">
        <f>+F2634*I2634</f>
        <v>252.66712002720163</v>
      </c>
      <c r="L2634" s="65" t="s">
        <v>9</v>
      </c>
      <c r="M2634" s="1572"/>
      <c r="N2634" s="420"/>
      <c r="P2634" s="412"/>
      <c r="Q2634" s="391"/>
      <c r="R2634" s="393"/>
    </row>
    <row r="2635" spans="1:18" ht="30" customHeight="1" thickBot="1" x14ac:dyDescent="0.3">
      <c r="A2635" s="61"/>
      <c r="B2635" s="192"/>
      <c r="C2635" s="192"/>
      <c r="D2635" s="192"/>
      <c r="E2635" s="1290"/>
      <c r="F2635" s="1291"/>
      <c r="G2635" s="1291"/>
      <c r="H2635" s="1292"/>
      <c r="I2635" s="63"/>
      <c r="J2635" s="48" t="s">
        <v>358</v>
      </c>
      <c r="K2635" s="1293">
        <f>+K2634</f>
        <v>252.66712002720163</v>
      </c>
      <c r="L2635" s="61" t="s">
        <v>9</v>
      </c>
      <c r="M2635" s="419"/>
      <c r="N2635" s="420"/>
      <c r="O2635"/>
      <c r="P2635" s="412"/>
      <c r="Q2635" s="391"/>
      <c r="R2635" s="393"/>
    </row>
    <row r="2636" spans="1:18" ht="30" customHeight="1" thickBot="1" x14ac:dyDescent="0.3">
      <c r="A2636" s="76"/>
      <c r="B2636" s="77"/>
      <c r="C2636" s="77"/>
      <c r="D2636" s="77"/>
      <c r="E2636" s="77"/>
      <c r="F2636" s="77"/>
      <c r="G2636" s="77"/>
      <c r="H2636" s="77"/>
      <c r="I2636" s="77"/>
      <c r="J2636" s="77"/>
      <c r="K2636" s="77"/>
      <c r="L2636" s="78"/>
      <c r="M2636" s="419"/>
      <c r="N2636" s="420"/>
      <c r="O2636"/>
      <c r="P2636" s="412"/>
      <c r="Q2636" s="391"/>
      <c r="R2636" s="393"/>
    </row>
    <row r="2637" spans="1:18" ht="30" customHeight="1" x14ac:dyDescent="0.25">
      <c r="A2637" s="30" t="s">
        <v>288</v>
      </c>
      <c r="B2637" s="208">
        <v>4428</v>
      </c>
      <c r="C2637" s="209" t="s">
        <v>1912</v>
      </c>
      <c r="D2637" s="210"/>
      <c r="E2637" s="177" t="s">
        <v>291</v>
      </c>
      <c r="F2637" s="178" t="s">
        <v>9</v>
      </c>
      <c r="G2637" s="123" t="s">
        <v>375</v>
      </c>
      <c r="H2637" s="539">
        <v>24026</v>
      </c>
      <c r="I2637" s="177" t="s">
        <v>292</v>
      </c>
      <c r="J2637" s="38" t="s">
        <v>883</v>
      </c>
      <c r="K2637" s="38"/>
      <c r="L2637" s="389"/>
      <c r="M2637" s="419"/>
      <c r="N2637" s="420"/>
      <c r="O2637"/>
      <c r="P2637" s="412"/>
      <c r="Q2637" s="391"/>
      <c r="R2637" s="393"/>
    </row>
    <row r="2638" spans="1:18" ht="30" customHeight="1" x14ac:dyDescent="0.25">
      <c r="A2638" s="48" t="s">
        <v>529</v>
      </c>
      <c r="B2638" s="394" t="s">
        <v>560</v>
      </c>
      <c r="C2638" s="395"/>
      <c r="D2638" s="396"/>
      <c r="E2638" s="397" t="s">
        <v>519</v>
      </c>
      <c r="F2638" s="397" t="s">
        <v>561</v>
      </c>
      <c r="G2638" s="398" t="s">
        <v>562</v>
      </c>
      <c r="H2638" s="399"/>
      <c r="I2638" s="181" t="s">
        <v>530</v>
      </c>
      <c r="J2638" s="181"/>
      <c r="K2638" s="288" t="s">
        <v>521</v>
      </c>
      <c r="L2638" s="289"/>
      <c r="M2638" s="670"/>
      <c r="N2638" s="671"/>
      <c r="O2638" s="43"/>
      <c r="P2638" s="672"/>
      <c r="Q2638" s="671"/>
      <c r="R2638" s="673"/>
    </row>
    <row r="2639" spans="1:18" ht="30" customHeight="1" x14ac:dyDescent="0.25">
      <c r="A2639" s="61" t="s">
        <v>1913</v>
      </c>
      <c r="B2639" s="503" t="s">
        <v>1914</v>
      </c>
      <c r="C2639" s="504"/>
      <c r="D2639" s="505"/>
      <c r="E2639" s="405">
        <v>80.25</v>
      </c>
      <c r="F2639" s="20" t="s">
        <v>9</v>
      </c>
      <c r="G2639" s="522"/>
      <c r="H2639" s="20"/>
      <c r="I2639" s="20">
        <v>1.05</v>
      </c>
      <c r="J2639" s="20"/>
      <c r="K2639" s="405">
        <f>+E2639*I2639</f>
        <v>84.262500000000003</v>
      </c>
      <c r="L2639" s="20" t="s">
        <v>9</v>
      </c>
      <c r="M2639" s="670"/>
      <c r="N2639" s="671"/>
      <c r="O2639" s="43"/>
      <c r="P2639" s="672"/>
      <c r="Q2639" s="671"/>
      <c r="R2639" s="673"/>
    </row>
    <row r="2640" spans="1:18" ht="30" customHeight="1" x14ac:dyDescent="0.25">
      <c r="A2640" s="61" t="s">
        <v>1915</v>
      </c>
      <c r="B2640" s="503" t="s">
        <v>1916</v>
      </c>
      <c r="C2640" s="504"/>
      <c r="D2640" s="504"/>
      <c r="E2640" s="405">
        <v>3.13</v>
      </c>
      <c r="F2640" s="20" t="s">
        <v>9</v>
      </c>
      <c r="G2640" s="838"/>
      <c r="H2640" s="754"/>
      <c r="I2640" s="20">
        <v>1.05</v>
      </c>
      <c r="J2640" s="20"/>
      <c r="K2640" s="405">
        <f>+E2640*I2640</f>
        <v>3.2865000000000002</v>
      </c>
      <c r="L2640" s="20" t="s">
        <v>9</v>
      </c>
      <c r="M2640" s="419"/>
      <c r="N2640" s="420"/>
      <c r="O2640"/>
      <c r="P2640" s="412"/>
      <c r="Q2640" s="391"/>
      <c r="R2640" s="393"/>
    </row>
    <row r="2641" spans="1:21" ht="30" customHeight="1" x14ac:dyDescent="0.25">
      <c r="A2641" s="61"/>
      <c r="B2641" s="402"/>
      <c r="C2641" s="403"/>
      <c r="D2641" s="404"/>
      <c r="E2641" s="405"/>
      <c r="F2641" s="730"/>
      <c r="G2641" s="838"/>
      <c r="H2641" s="754"/>
      <c r="I2641" s="20"/>
      <c r="J2641" s="20" t="s">
        <v>578</v>
      </c>
      <c r="K2641" s="405">
        <f>SUM(K2639:K2640)</f>
        <v>87.549000000000007</v>
      </c>
      <c r="L2641" s="20" t="s">
        <v>9</v>
      </c>
      <c r="M2641" s="419"/>
      <c r="N2641" s="420"/>
      <c r="O2641"/>
      <c r="P2641" s="412"/>
      <c r="Q2641" s="391"/>
      <c r="R2641" s="393"/>
    </row>
    <row r="2642" spans="1:21" ht="30" customHeight="1" x14ac:dyDescent="0.25">
      <c r="A2642" s="61"/>
      <c r="B2642" s="1285" t="s">
        <v>1905</v>
      </c>
      <c r="C2642" s="1286"/>
      <c r="D2642" s="1287"/>
      <c r="E2642" s="405"/>
      <c r="F2642" s="338" t="s">
        <v>533</v>
      </c>
      <c r="G2642" s="339" t="s">
        <v>534</v>
      </c>
      <c r="H2642" s="339"/>
      <c r="I2642" s="339"/>
      <c r="J2642" s="339"/>
      <c r="K2642" s="751">
        <v>1.0900000000000001</v>
      </c>
      <c r="L2642" s="10"/>
      <c r="M2642" s="419"/>
      <c r="N2642" s="420"/>
      <c r="O2642"/>
      <c r="P2642" s="412"/>
      <c r="Q2642" s="391"/>
      <c r="R2642" s="393"/>
    </row>
    <row r="2643" spans="1:21" ht="30" customHeight="1" x14ac:dyDescent="0.25">
      <c r="A2643" s="61"/>
      <c r="B2643" s="410"/>
      <c r="C2643" s="410"/>
      <c r="D2643" s="410"/>
      <c r="E2643" s="405"/>
      <c r="F2643" s="343"/>
      <c r="G2643" s="344" t="s">
        <v>535</v>
      </c>
      <c r="H2643" s="344"/>
      <c r="I2643" s="344"/>
      <c r="J2643" s="344"/>
      <c r="K2643" s="340">
        <v>1.02</v>
      </c>
      <c r="L2643" s="10"/>
      <c r="M2643" s="419"/>
      <c r="N2643" s="420"/>
      <c r="O2643"/>
      <c r="P2643" s="412"/>
      <c r="Q2643" s="391"/>
      <c r="R2643" s="393"/>
    </row>
    <row r="2644" spans="1:21" s="49" customFormat="1" ht="30" customHeight="1" x14ac:dyDescent="0.25">
      <c r="A2644" s="61"/>
      <c r="B2644" s="20"/>
      <c r="C2644" s="18"/>
      <c r="D2644" s="18"/>
      <c r="E2644" s="18"/>
      <c r="F2644" s="18"/>
      <c r="G2644" s="18"/>
      <c r="H2644" s="18"/>
      <c r="I2644" s="18"/>
      <c r="J2644" s="20" t="s">
        <v>358</v>
      </c>
      <c r="K2644" s="23">
        <f>+K2641*K2642/K2643</f>
        <v>93.557264705882361</v>
      </c>
      <c r="L2644" s="20" t="s">
        <v>9</v>
      </c>
      <c r="M2644" s="425"/>
      <c r="N2644" s="420"/>
      <c r="P2644" s="412"/>
      <c r="Q2644" s="391"/>
      <c r="R2644" s="393"/>
    </row>
    <row r="2645" spans="1:21" ht="30" customHeight="1" thickBot="1" x14ac:dyDescent="0.3">
      <c r="A2645" s="61"/>
      <c r="B2645" s="20"/>
      <c r="C2645" s="18"/>
      <c r="D2645" s="18"/>
      <c r="E2645" s="18"/>
      <c r="F2645" s="18"/>
      <c r="G2645" s="13"/>
      <c r="H2645" s="18"/>
      <c r="I2645" s="1245" t="s">
        <v>537</v>
      </c>
      <c r="J2645" s="361">
        <f>VLOOKUP(B2637,'Mil Cost Premiums for RUCs'!$A$4:$R$265,18,FALSE)</f>
        <v>1.1025891562650529</v>
      </c>
      <c r="K2645" s="23">
        <f>+K2644*J2645</f>
        <v>103.15522555452505</v>
      </c>
      <c r="L2645" s="20" t="s">
        <v>9</v>
      </c>
      <c r="M2645" s="419"/>
      <c r="N2645" s="420"/>
      <c r="O2645"/>
      <c r="P2645" s="412"/>
      <c r="Q2645" s="391"/>
      <c r="R2645" s="393"/>
    </row>
    <row r="2646" spans="1:21" ht="30" customHeight="1" thickBot="1" x14ac:dyDescent="0.3">
      <c r="A2646" s="76"/>
      <c r="B2646" s="77"/>
      <c r="C2646" s="77"/>
      <c r="D2646" s="77"/>
      <c r="E2646" s="77"/>
      <c r="F2646" s="77"/>
      <c r="G2646" s="77"/>
      <c r="H2646" s="77"/>
      <c r="I2646" s="77"/>
      <c r="J2646" s="77"/>
      <c r="K2646" s="77"/>
      <c r="L2646" s="78"/>
      <c r="M2646" s="670"/>
      <c r="N2646" s="671"/>
      <c r="O2646" s="43"/>
      <c r="P2646" s="672"/>
      <c r="Q2646" s="671"/>
      <c r="R2646" s="673"/>
    </row>
    <row r="2647" spans="1:21" ht="30" customHeight="1" x14ac:dyDescent="0.25">
      <c r="A2647" s="207" t="s">
        <v>288</v>
      </c>
      <c r="B2647" s="208">
        <v>4511</v>
      </c>
      <c r="C2647" s="209" t="s">
        <v>1917</v>
      </c>
      <c r="D2647" s="210"/>
      <c r="E2647" s="177" t="s">
        <v>291</v>
      </c>
      <c r="F2647" s="178" t="s">
        <v>3</v>
      </c>
      <c r="G2647" s="123" t="s">
        <v>375</v>
      </c>
      <c r="H2647" s="539">
        <v>10432</v>
      </c>
      <c r="I2647" s="177" t="s">
        <v>292</v>
      </c>
      <c r="J2647" s="38" t="s">
        <v>883</v>
      </c>
      <c r="K2647" s="38"/>
      <c r="L2647" s="389"/>
      <c r="M2647" s="670"/>
      <c r="N2647" s="671"/>
      <c r="O2647" s="43"/>
      <c r="P2647" s="672"/>
      <c r="Q2647" s="671"/>
      <c r="R2647" s="673"/>
    </row>
    <row r="2648" spans="1:21" ht="30" customHeight="1" x14ac:dyDescent="0.25">
      <c r="A2648" s="185" t="s">
        <v>529</v>
      </c>
      <c r="B2648" s="394" t="s">
        <v>560</v>
      </c>
      <c r="C2648" s="395"/>
      <c r="D2648" s="396"/>
      <c r="E2648" s="397" t="s">
        <v>519</v>
      </c>
      <c r="F2648" s="397" t="s">
        <v>561</v>
      </c>
      <c r="G2648" s="398" t="s">
        <v>562</v>
      </c>
      <c r="H2648" s="399"/>
      <c r="I2648" s="181" t="s">
        <v>530</v>
      </c>
      <c r="J2648" s="181"/>
      <c r="K2648" s="288" t="s">
        <v>521</v>
      </c>
      <c r="L2648" s="289"/>
      <c r="M2648" s="419"/>
      <c r="N2648" s="420"/>
      <c r="O2648"/>
      <c r="P2648" s="412"/>
      <c r="Q2648" s="391"/>
      <c r="R2648" s="393"/>
    </row>
    <row r="2649" spans="1:21" ht="30" customHeight="1" x14ac:dyDescent="0.25">
      <c r="A2649" s="20" t="s">
        <v>574</v>
      </c>
      <c r="B2649" s="323" t="s">
        <v>1842</v>
      </c>
      <c r="C2649" s="324"/>
      <c r="D2649" s="325"/>
      <c r="E2649" s="405">
        <v>0.71</v>
      </c>
      <c r="F2649" s="20" t="s">
        <v>9</v>
      </c>
      <c r="G2649" s="522">
        <v>9</v>
      </c>
      <c r="H2649" s="20" t="s">
        <v>1843</v>
      </c>
      <c r="I2649" s="886">
        <v>1.04</v>
      </c>
      <c r="J2649" s="20"/>
      <c r="K2649" s="405">
        <f>+E2649*I2649*G2649</f>
        <v>6.6456</v>
      </c>
      <c r="L2649" s="20" t="s">
        <v>3</v>
      </c>
      <c r="M2649" s="419"/>
      <c r="N2649" s="420"/>
      <c r="P2649" s="43"/>
      <c r="Q2649" s="43"/>
      <c r="R2649" s="43"/>
      <c r="S2649" s="60"/>
      <c r="T2649" s="60"/>
      <c r="U2649" s="43"/>
    </row>
    <row r="2650" spans="1:21" ht="30" customHeight="1" x14ac:dyDescent="0.25">
      <c r="A2650" s="20" t="s">
        <v>574</v>
      </c>
      <c r="B2650" s="346" t="s">
        <v>1844</v>
      </c>
      <c r="C2650" s="347"/>
      <c r="D2650" s="348"/>
      <c r="E2650" s="1092">
        <v>2.12</v>
      </c>
      <c r="F2650" s="20" t="s">
        <v>9</v>
      </c>
      <c r="G2650" s="522">
        <v>9</v>
      </c>
      <c r="H2650" s="20" t="s">
        <v>1843</v>
      </c>
      <c r="I2650" s="886">
        <v>1.04</v>
      </c>
      <c r="J2650" s="20"/>
      <c r="K2650" s="405">
        <f>+E2650*I2650*G2650</f>
        <v>19.8432</v>
      </c>
      <c r="L2650" s="20" t="s">
        <v>3</v>
      </c>
      <c r="M2650" s="419"/>
      <c r="N2650" s="420"/>
      <c r="P2650" s="43"/>
      <c r="Q2650" s="43"/>
      <c r="R2650" s="43"/>
      <c r="S2650" s="60"/>
      <c r="T2650" s="60"/>
      <c r="U2650" s="43"/>
    </row>
    <row r="2651" spans="1:21" s="41" customFormat="1" ht="30" customHeight="1" x14ac:dyDescent="0.25">
      <c r="A2651" s="20" t="s">
        <v>574</v>
      </c>
      <c r="B2651" s="323" t="s">
        <v>1845</v>
      </c>
      <c r="C2651" s="324"/>
      <c r="D2651" s="324"/>
      <c r="E2651" s="405">
        <v>3.75</v>
      </c>
      <c r="F2651" s="730" t="s">
        <v>9</v>
      </c>
      <c r="G2651" s="522">
        <v>9</v>
      </c>
      <c r="H2651" s="20" t="s">
        <v>1843</v>
      </c>
      <c r="I2651" s="886">
        <v>1.04</v>
      </c>
      <c r="J2651" s="20"/>
      <c r="K2651" s="405">
        <f>+E2651*I2651*G2651</f>
        <v>35.1</v>
      </c>
      <c r="L2651" s="20" t="s">
        <v>3</v>
      </c>
      <c r="M2651" s="341"/>
      <c r="N2651" s="341"/>
      <c r="O2651" s="42"/>
    </row>
    <row r="2652" spans="1:21" s="49" customFormat="1" ht="30" customHeight="1" x14ac:dyDescent="0.25">
      <c r="A2652" s="20"/>
      <c r="B2652" s="402"/>
      <c r="C2652" s="403"/>
      <c r="D2652" s="404"/>
      <c r="E2652" s="405"/>
      <c r="F2652" s="20"/>
      <c r="G2652" s="18"/>
      <c r="H2652" s="1068" t="s">
        <v>1918</v>
      </c>
      <c r="I2652" s="1069"/>
      <c r="J2652" s="1070"/>
      <c r="K2652" s="1294">
        <f>AVERAGE(K2650:K2651)</f>
        <v>27.471600000000002</v>
      </c>
      <c r="L2652" s="20" t="s">
        <v>3</v>
      </c>
      <c r="M2652" s="502"/>
      <c r="N2652" s="502"/>
      <c r="O2652" s="27"/>
    </row>
    <row r="2653" spans="1:21" ht="30" customHeight="1" x14ac:dyDescent="0.25">
      <c r="A2653" s="20"/>
      <c r="B2653" s="1295"/>
      <c r="C2653" s="1296"/>
      <c r="D2653" s="1297"/>
      <c r="E2653" s="405"/>
      <c r="F2653" s="730"/>
      <c r="G2653" s="522"/>
      <c r="H2653" s="20"/>
      <c r="I2653" s="20"/>
      <c r="J2653" s="20" t="s">
        <v>578</v>
      </c>
      <c r="K2653" s="405">
        <f>+K2652+K2649</f>
        <v>34.117200000000004</v>
      </c>
      <c r="L2653" s="20" t="s">
        <v>3</v>
      </c>
    </row>
    <row r="2654" spans="1:21" ht="30" customHeight="1" x14ac:dyDescent="0.25">
      <c r="A2654" s="61"/>
      <c r="B2654" s="410"/>
      <c r="C2654" s="410"/>
      <c r="D2654" s="410"/>
      <c r="E2654" s="405"/>
      <c r="F2654" s="338" t="s">
        <v>533</v>
      </c>
      <c r="G2654" s="339" t="s">
        <v>534</v>
      </c>
      <c r="H2654" s="339"/>
      <c r="I2654" s="339"/>
      <c r="J2654" s="339"/>
      <c r="K2654" s="751">
        <v>1.07</v>
      </c>
      <c r="L2654" s="10"/>
      <c r="O2654"/>
      <c r="P2654" s="412"/>
      <c r="Q2654" s="391"/>
      <c r="R2654" s="393"/>
    </row>
    <row r="2655" spans="1:21" ht="30" customHeight="1" x14ac:dyDescent="0.25">
      <c r="A2655" s="61"/>
      <c r="B2655" s="410"/>
      <c r="C2655" s="410"/>
      <c r="D2655" s="410"/>
      <c r="E2655" s="405"/>
      <c r="F2655" s="343"/>
      <c r="G2655" s="344" t="s">
        <v>535</v>
      </c>
      <c r="H2655" s="344"/>
      <c r="I2655" s="344"/>
      <c r="J2655" s="344"/>
      <c r="K2655" s="340">
        <v>1.02</v>
      </c>
      <c r="L2655" s="10"/>
      <c r="M2655" s="986"/>
      <c r="N2655" s="1865"/>
      <c r="O2655"/>
      <c r="P2655" s="412"/>
      <c r="Q2655" s="391"/>
      <c r="R2655" s="393"/>
    </row>
    <row r="2656" spans="1:21" ht="30" customHeight="1" x14ac:dyDescent="0.25">
      <c r="A2656" s="20"/>
      <c r="B2656" s="402"/>
      <c r="C2656" s="403"/>
      <c r="D2656" s="404"/>
      <c r="E2656" s="405"/>
      <c r="F2656" s="730"/>
      <c r="G2656" s="838"/>
      <c r="H2656" s="754"/>
      <c r="I2656" s="556"/>
      <c r="J2656" s="730" t="s">
        <v>358</v>
      </c>
      <c r="K2656" s="23">
        <f>+K2653*K2654/K2655</f>
        <v>35.789611764705889</v>
      </c>
      <c r="L2656" s="20" t="s">
        <v>3</v>
      </c>
      <c r="M2656" s="986"/>
      <c r="N2656" s="1865"/>
      <c r="O2656"/>
      <c r="P2656" s="412"/>
      <c r="Q2656" s="391"/>
      <c r="R2656" s="393"/>
    </row>
    <row r="2657" spans="1:18" s="49" customFormat="1" ht="30" customHeight="1" thickBot="1" x14ac:dyDescent="0.3">
      <c r="A2657" s="20"/>
      <c r="B2657" s="402"/>
      <c r="C2657" s="403"/>
      <c r="D2657" s="404"/>
      <c r="E2657" s="405"/>
      <c r="F2657" s="730"/>
      <c r="G2657" s="413" t="s">
        <v>537</v>
      </c>
      <c r="H2657" s="754"/>
      <c r="I2657" s="730"/>
      <c r="J2657" s="361">
        <f>VLOOKUP(B2647,'Mil Cost Premiums for RUCs'!$A$4:$R$265,18,FALSE)</f>
        <v>1.0905505199999999</v>
      </c>
      <c r="K2657" s="23">
        <f>+K2656*J2657</f>
        <v>39.03037972059812</v>
      </c>
      <c r="L2657" s="20" t="s">
        <v>3</v>
      </c>
      <c r="M2657" s="986"/>
      <c r="N2657" s="1865"/>
      <c r="P2657" s="412"/>
      <c r="Q2657" s="391"/>
      <c r="R2657" s="393"/>
    </row>
    <row r="2658" spans="1:18" ht="30" customHeight="1" thickBot="1" x14ac:dyDescent="0.3">
      <c r="A2658" s="76"/>
      <c r="B2658" s="77"/>
      <c r="C2658" s="77"/>
      <c r="D2658" s="77"/>
      <c r="E2658" s="77"/>
      <c r="F2658" s="77"/>
      <c r="G2658" s="77"/>
      <c r="H2658" s="77"/>
      <c r="I2658" s="77"/>
      <c r="J2658" s="77"/>
      <c r="K2658" s="77"/>
      <c r="L2658" s="78"/>
      <c r="M2658" s="419"/>
      <c r="N2658" s="420"/>
      <c r="O2658"/>
      <c r="P2658" s="412"/>
      <c r="Q2658" s="391"/>
      <c r="R2658" s="393"/>
    </row>
    <row r="2659" spans="1:18" ht="30" customHeight="1" x14ac:dyDescent="0.25">
      <c r="A2659" s="306" t="s">
        <v>288</v>
      </c>
      <c r="B2659" s="418">
        <v>4521</v>
      </c>
      <c r="C2659" s="415" t="s">
        <v>1919</v>
      </c>
      <c r="D2659" s="416"/>
      <c r="E2659" s="540" t="s">
        <v>291</v>
      </c>
      <c r="F2659" s="541" t="s">
        <v>3</v>
      </c>
      <c r="G2659" s="123" t="s">
        <v>375</v>
      </c>
      <c r="H2659" s="542">
        <v>15804</v>
      </c>
      <c r="I2659" s="540" t="s">
        <v>292</v>
      </c>
      <c r="J2659" s="38" t="s">
        <v>883</v>
      </c>
      <c r="K2659" s="38"/>
      <c r="L2659" s="389"/>
      <c r="M2659" s="419"/>
      <c r="N2659" s="420"/>
      <c r="O2659"/>
      <c r="P2659" s="412"/>
      <c r="Q2659" s="391"/>
      <c r="R2659" s="393"/>
    </row>
    <row r="2660" spans="1:18" ht="30" customHeight="1" x14ac:dyDescent="0.25">
      <c r="A2660" s="695" t="s">
        <v>529</v>
      </c>
      <c r="B2660" s="543" t="s">
        <v>560</v>
      </c>
      <c r="C2660" s="544"/>
      <c r="D2660" s="545"/>
      <c r="E2660" s="546" t="s">
        <v>519</v>
      </c>
      <c r="F2660" s="546" t="s">
        <v>561</v>
      </c>
      <c r="G2660" s="547" t="s">
        <v>562</v>
      </c>
      <c r="H2660" s="548"/>
      <c r="I2660" s="424" t="s">
        <v>530</v>
      </c>
      <c r="J2660" s="424"/>
      <c r="K2660" s="288" t="s">
        <v>521</v>
      </c>
      <c r="L2660" s="289"/>
      <c r="M2660" s="419"/>
      <c r="N2660" s="420"/>
      <c r="O2660"/>
      <c r="P2660" s="412"/>
      <c r="Q2660" s="391"/>
      <c r="R2660" s="393"/>
    </row>
    <row r="2661" spans="1:18" ht="30" customHeight="1" x14ac:dyDescent="0.25">
      <c r="A2661" s="24" t="s">
        <v>574</v>
      </c>
      <c r="B2661" s="323" t="s">
        <v>1842</v>
      </c>
      <c r="C2661" s="324"/>
      <c r="D2661" s="325"/>
      <c r="E2661" s="326">
        <v>0.71</v>
      </c>
      <c r="F2661" s="10" t="s">
        <v>9</v>
      </c>
      <c r="G2661" s="1055">
        <v>9</v>
      </c>
      <c r="H2661" s="10" t="s">
        <v>1843</v>
      </c>
      <c r="I2661" s="886">
        <v>1.04</v>
      </c>
      <c r="J2661" s="10"/>
      <c r="K2661" s="326">
        <f>+E2661*I2661*G2661</f>
        <v>6.6456</v>
      </c>
      <c r="L2661" s="10" t="s">
        <v>3</v>
      </c>
      <c r="M2661" s="670"/>
      <c r="N2661" s="671"/>
      <c r="O2661" s="43"/>
      <c r="P2661" s="672"/>
      <c r="Q2661" s="671"/>
      <c r="R2661" s="673"/>
    </row>
    <row r="2662" spans="1:18" ht="30" customHeight="1" x14ac:dyDescent="0.25">
      <c r="A2662" s="24" t="s">
        <v>574</v>
      </c>
      <c r="B2662" s="346" t="s">
        <v>1844</v>
      </c>
      <c r="C2662" s="347"/>
      <c r="D2662" s="348"/>
      <c r="E2662" s="364">
        <v>2.12</v>
      </c>
      <c r="F2662" s="10" t="s">
        <v>9</v>
      </c>
      <c r="G2662" s="1055">
        <v>9</v>
      </c>
      <c r="H2662" s="10" t="s">
        <v>1843</v>
      </c>
      <c r="I2662" s="886">
        <v>1.04</v>
      </c>
      <c r="J2662" s="10"/>
      <c r="K2662" s="326">
        <f>+E2662*I2662*G2662</f>
        <v>19.8432</v>
      </c>
      <c r="L2662" s="10" t="s">
        <v>3</v>
      </c>
      <c r="M2662" s="670"/>
      <c r="N2662" s="671"/>
      <c r="O2662" s="43"/>
      <c r="P2662" s="672"/>
      <c r="Q2662" s="671"/>
      <c r="R2662" s="673"/>
    </row>
    <row r="2663" spans="1:18" ht="30" customHeight="1" x14ac:dyDescent="0.25">
      <c r="A2663" s="24" t="s">
        <v>574</v>
      </c>
      <c r="B2663" s="323" t="s">
        <v>1845</v>
      </c>
      <c r="C2663" s="324"/>
      <c r="D2663" s="324"/>
      <c r="E2663" s="326">
        <v>3.75</v>
      </c>
      <c r="F2663" s="844" t="s">
        <v>9</v>
      </c>
      <c r="G2663" s="1055">
        <v>9</v>
      </c>
      <c r="H2663" s="10" t="s">
        <v>1843</v>
      </c>
      <c r="I2663" s="886">
        <v>1.04</v>
      </c>
      <c r="J2663" s="10"/>
      <c r="K2663" s="326">
        <f>+E2663*I2663*G2663</f>
        <v>35.1</v>
      </c>
      <c r="L2663" s="10" t="s">
        <v>3</v>
      </c>
      <c r="M2663" s="419"/>
      <c r="N2663" s="420"/>
      <c r="O2663"/>
      <c r="P2663" s="412"/>
      <c r="Q2663" s="391"/>
      <c r="R2663" s="393"/>
    </row>
    <row r="2664" spans="1:18" ht="30" customHeight="1" x14ac:dyDescent="0.25">
      <c r="A2664" s="24"/>
      <c r="B2664" s="346"/>
      <c r="C2664" s="347"/>
      <c r="D2664" s="348"/>
      <c r="E2664" s="326"/>
      <c r="F2664" s="10"/>
      <c r="G2664" s="13"/>
      <c r="H2664" s="1068" t="s">
        <v>1918</v>
      </c>
      <c r="I2664" s="1069"/>
      <c r="J2664" s="1070"/>
      <c r="K2664" s="429">
        <f>AVERAGE(K2662:K2663)</f>
        <v>27.471600000000002</v>
      </c>
      <c r="L2664" s="10" t="s">
        <v>3</v>
      </c>
      <c r="M2664" s="419"/>
      <c r="N2664" s="420"/>
      <c r="O2664"/>
      <c r="P2664" s="412"/>
      <c r="Q2664" s="391"/>
      <c r="R2664" s="393"/>
    </row>
    <row r="2665" spans="1:18" ht="30" customHeight="1" x14ac:dyDescent="0.25">
      <c r="A2665" s="24"/>
      <c r="B2665" s="1254"/>
      <c r="C2665" s="1255"/>
      <c r="D2665" s="1256"/>
      <c r="E2665" s="326"/>
      <c r="F2665" s="844"/>
      <c r="G2665" s="1055"/>
      <c r="H2665" s="10"/>
      <c r="I2665" s="10"/>
      <c r="J2665" s="10" t="s">
        <v>578</v>
      </c>
      <c r="K2665" s="326">
        <f>+K2664+K2661</f>
        <v>34.117200000000004</v>
      </c>
      <c r="L2665" s="10" t="s">
        <v>3</v>
      </c>
      <c r="M2665" s="419"/>
      <c r="N2665" s="420"/>
      <c r="O2665"/>
      <c r="P2665" s="412"/>
      <c r="Q2665" s="391"/>
      <c r="R2665" s="393"/>
    </row>
    <row r="2666" spans="1:18" ht="30" customHeight="1" x14ac:dyDescent="0.25">
      <c r="A2666" s="61"/>
      <c r="B2666" s="410"/>
      <c r="C2666" s="410"/>
      <c r="D2666" s="410"/>
      <c r="E2666" s="405"/>
      <c r="F2666" s="338" t="s">
        <v>533</v>
      </c>
      <c r="G2666" s="339" t="s">
        <v>534</v>
      </c>
      <c r="H2666" s="339"/>
      <c r="I2666" s="339"/>
      <c r="J2666" s="339"/>
      <c r="K2666" s="751">
        <v>1.07</v>
      </c>
      <c r="L2666" s="10"/>
      <c r="M2666" s="419"/>
      <c r="N2666" s="420"/>
      <c r="O2666"/>
      <c r="P2666" s="412"/>
      <c r="Q2666" s="391"/>
      <c r="R2666" s="393"/>
    </row>
    <row r="2667" spans="1:18" s="49" customFormat="1" ht="30" customHeight="1" x14ac:dyDescent="0.25">
      <c r="A2667" s="61"/>
      <c r="B2667" s="410"/>
      <c r="C2667" s="410"/>
      <c r="D2667" s="410"/>
      <c r="E2667" s="405"/>
      <c r="F2667" s="343"/>
      <c r="G2667" s="344" t="s">
        <v>535</v>
      </c>
      <c r="H2667" s="344"/>
      <c r="I2667" s="344"/>
      <c r="J2667" s="344"/>
      <c r="K2667" s="340">
        <v>1.02</v>
      </c>
      <c r="L2667" s="10"/>
      <c r="M2667" s="425"/>
      <c r="N2667" s="420"/>
      <c r="P2667" s="412"/>
      <c r="Q2667" s="391"/>
      <c r="R2667" s="393"/>
    </row>
    <row r="2668" spans="1:18" ht="30" customHeight="1" x14ac:dyDescent="0.25">
      <c r="A2668" s="24"/>
      <c r="B2668" s="346"/>
      <c r="C2668" s="347"/>
      <c r="D2668" s="348"/>
      <c r="E2668" s="326"/>
      <c r="F2668" s="844"/>
      <c r="G2668" s="845"/>
      <c r="H2668" s="846"/>
      <c r="I2668" s="441" t="s">
        <v>358</v>
      </c>
      <c r="J2668" s="442"/>
      <c r="K2668" s="14">
        <f>+K2665*K2666/K2667</f>
        <v>35.789611764705889</v>
      </c>
      <c r="L2668" s="10" t="s">
        <v>3</v>
      </c>
      <c r="M2668" s="419"/>
      <c r="N2668" s="420"/>
      <c r="O2668"/>
      <c r="P2668" s="412"/>
      <c r="Q2668" s="391"/>
      <c r="R2668" s="393"/>
    </row>
    <row r="2669" spans="1:18" ht="30" customHeight="1" thickBot="1" x14ac:dyDescent="0.3">
      <c r="A2669" s="24"/>
      <c r="B2669" s="1257"/>
      <c r="C2669" s="1258"/>
      <c r="D2669" s="922"/>
      <c r="E2669" s="326"/>
      <c r="F2669" s="844"/>
      <c r="G2669" s="556"/>
      <c r="H2669" s="846"/>
      <c r="I2669" s="1259" t="s">
        <v>652</v>
      </c>
      <c r="J2669" s="361">
        <f>VLOOKUP(B2659,'Mil Cost Premiums for RUCs'!$A$4:$R$265,18,FALSE)</f>
        <v>1.0905505199999999</v>
      </c>
      <c r="K2669" s="14">
        <f>+K2668*J2669</f>
        <v>39.03037972059812</v>
      </c>
      <c r="L2669" s="10" t="s">
        <v>3</v>
      </c>
      <c r="M2669" s="419"/>
      <c r="N2669" s="420"/>
      <c r="O2669"/>
      <c r="P2669" s="412"/>
      <c r="Q2669" s="391"/>
      <c r="R2669" s="393"/>
    </row>
    <row r="2670" spans="1:18" ht="30" customHeight="1" thickBot="1" x14ac:dyDescent="0.3">
      <c r="A2670" s="76"/>
      <c r="B2670" s="77"/>
      <c r="C2670" s="77"/>
      <c r="D2670" s="77"/>
      <c r="E2670" s="77"/>
      <c r="F2670" s="77"/>
      <c r="G2670" s="77"/>
      <c r="H2670" s="77"/>
      <c r="I2670" s="77"/>
      <c r="J2670" s="77"/>
      <c r="K2670" s="77"/>
      <c r="L2670" s="78"/>
      <c r="M2670" s="419"/>
      <c r="N2670" s="420"/>
      <c r="O2670"/>
      <c r="P2670" s="412"/>
      <c r="Q2670" s="391"/>
      <c r="R2670" s="393"/>
    </row>
    <row r="2671" spans="1:18" ht="30" customHeight="1" x14ac:dyDescent="0.25">
      <c r="A2671" s="207" t="s">
        <v>288</v>
      </c>
      <c r="B2671" s="208">
        <v>5100</v>
      </c>
      <c r="C2671" s="282" t="s">
        <v>1920</v>
      </c>
      <c r="D2671" s="283"/>
      <c r="E2671" s="177" t="s">
        <v>291</v>
      </c>
      <c r="F2671" s="178" t="s">
        <v>9</v>
      </c>
      <c r="G2671" s="123" t="s">
        <v>375</v>
      </c>
      <c r="H2671" s="302">
        <v>127181</v>
      </c>
      <c r="I2671" s="177" t="s">
        <v>292</v>
      </c>
      <c r="J2671" s="38" t="s">
        <v>1339</v>
      </c>
      <c r="K2671" s="39"/>
      <c r="L2671" s="40"/>
      <c r="M2671" s="419"/>
      <c r="N2671" s="420"/>
      <c r="O2671"/>
      <c r="P2671" s="412"/>
      <c r="Q2671" s="391"/>
      <c r="R2671" s="393"/>
    </row>
    <row r="2672" spans="1:18" ht="30" customHeight="1" x14ac:dyDescent="0.25">
      <c r="A2672" s="181" t="s">
        <v>517</v>
      </c>
      <c r="B2672" s="180" t="s">
        <v>295</v>
      </c>
      <c r="C2672" s="180"/>
      <c r="D2672" s="180"/>
      <c r="E2672" s="181" t="s">
        <v>518</v>
      </c>
      <c r="F2672" s="285" t="s">
        <v>519</v>
      </c>
      <c r="G2672" s="665" t="s">
        <v>2</v>
      </c>
      <c r="H2672" s="666"/>
      <c r="I2672" s="286" t="s">
        <v>520</v>
      </c>
      <c r="J2672" s="287"/>
      <c r="K2672" s="288" t="s">
        <v>521</v>
      </c>
      <c r="L2672" s="289"/>
      <c r="M2672" s="419"/>
      <c r="N2672" s="420"/>
      <c r="O2672"/>
      <c r="P2672" s="412"/>
      <c r="Q2672" s="391"/>
      <c r="R2672" s="393"/>
    </row>
    <row r="2673" spans="1:21" ht="30" customHeight="1" x14ac:dyDescent="0.25">
      <c r="A2673" s="20">
        <v>51010</v>
      </c>
      <c r="B2673" s="503" t="s">
        <v>1921</v>
      </c>
      <c r="C2673" s="504"/>
      <c r="D2673" s="505"/>
      <c r="E2673" s="729" t="s">
        <v>131</v>
      </c>
      <c r="F2673" s="405">
        <v>458.11</v>
      </c>
      <c r="G2673" s="680" t="s">
        <v>9</v>
      </c>
      <c r="H2673" s="680"/>
      <c r="I2673" s="295">
        <f>+'MILCON Inflation Table'!F13</f>
        <v>1.0397823869432166</v>
      </c>
      <c r="J2673" s="296"/>
      <c r="K2673" s="304">
        <f>+F2673*I2673</f>
        <v>476.33470928255696</v>
      </c>
      <c r="L2673" s="290" t="s">
        <v>9</v>
      </c>
      <c r="M2673" s="670"/>
      <c r="N2673" s="671"/>
      <c r="O2673" s="43"/>
      <c r="P2673" s="672"/>
      <c r="Q2673" s="671"/>
      <c r="R2673" s="673"/>
    </row>
    <row r="2674" spans="1:21" ht="30" customHeight="1" thickBot="1" x14ac:dyDescent="0.3">
      <c r="A2674" s="20"/>
      <c r="B2674" s="503"/>
      <c r="C2674" s="504"/>
      <c r="D2674" s="505"/>
      <c r="E2674" s="465"/>
      <c r="F2674" s="763"/>
      <c r="G2674" s="465"/>
      <c r="H2674" s="764"/>
      <c r="I2674" s="18"/>
      <c r="J2674" s="185" t="s">
        <v>358</v>
      </c>
      <c r="K2674" s="305">
        <f>AVERAGE(K2673:K2673)</f>
        <v>476.33470928255696</v>
      </c>
      <c r="L2674" s="290" t="s">
        <v>9</v>
      </c>
      <c r="M2674" s="670"/>
      <c r="N2674" s="671"/>
      <c r="O2674" s="43"/>
      <c r="P2674" s="672"/>
      <c r="Q2674" s="671"/>
      <c r="R2674" s="673"/>
    </row>
    <row r="2675" spans="1:21" ht="30" customHeight="1" thickBot="1" x14ac:dyDescent="0.3">
      <c r="A2675" s="76"/>
      <c r="B2675" s="77"/>
      <c r="C2675" s="77"/>
      <c r="D2675" s="77"/>
      <c r="E2675" s="77"/>
      <c r="F2675" s="77"/>
      <c r="G2675" s="77"/>
      <c r="H2675" s="77"/>
      <c r="I2675" s="77"/>
      <c r="J2675" s="77"/>
      <c r="K2675" s="77"/>
      <c r="L2675" s="78"/>
      <c r="M2675" s="419"/>
      <c r="N2675" s="420"/>
      <c r="O2675"/>
      <c r="P2675" s="412"/>
      <c r="Q2675" s="391"/>
      <c r="R2675" s="393"/>
    </row>
    <row r="2676" spans="1:21" ht="30" customHeight="1" x14ac:dyDescent="0.25">
      <c r="A2676" s="306" t="s">
        <v>288</v>
      </c>
      <c r="B2676" s="307">
        <v>5302</v>
      </c>
      <c r="C2676" s="1165" t="s">
        <v>1922</v>
      </c>
      <c r="D2676" s="1166"/>
      <c r="E2676" s="310" t="s">
        <v>291</v>
      </c>
      <c r="F2676" s="311" t="s">
        <v>883</v>
      </c>
      <c r="G2676" s="123" t="s">
        <v>375</v>
      </c>
      <c r="H2676" s="542">
        <v>10937</v>
      </c>
      <c r="I2676" s="310" t="s">
        <v>292</v>
      </c>
      <c r="J2676" s="38" t="s">
        <v>883</v>
      </c>
      <c r="K2676" s="38"/>
      <c r="L2676" s="389"/>
      <c r="M2676" s="419"/>
      <c r="N2676" s="420"/>
      <c r="O2676" s="42"/>
      <c r="P2676" s="41"/>
      <c r="Q2676" s="41"/>
      <c r="R2676" s="41"/>
      <c r="S2676" s="41"/>
      <c r="T2676" s="41"/>
      <c r="U2676" s="43"/>
    </row>
    <row r="2677" spans="1:21" ht="30" customHeight="1" x14ac:dyDescent="0.25">
      <c r="A2677" s="421" t="s">
        <v>529</v>
      </c>
      <c r="B2677" s="543" t="s">
        <v>560</v>
      </c>
      <c r="C2677" s="544"/>
      <c r="D2677" s="545"/>
      <c r="E2677" s="546" t="s">
        <v>519</v>
      </c>
      <c r="F2677" s="546" t="s">
        <v>561</v>
      </c>
      <c r="G2677" s="547" t="s">
        <v>562</v>
      </c>
      <c r="H2677" s="548"/>
      <c r="I2677" s="424" t="s">
        <v>530</v>
      </c>
      <c r="J2677" s="424"/>
      <c r="K2677" s="288" t="s">
        <v>521</v>
      </c>
      <c r="L2677" s="289"/>
      <c r="M2677" s="419"/>
      <c r="N2677" s="420"/>
      <c r="U2677" s="43"/>
    </row>
    <row r="2678" spans="1:21" ht="30" customHeight="1" x14ac:dyDescent="0.25">
      <c r="A2678" s="10" t="s">
        <v>649</v>
      </c>
      <c r="B2678" s="346" t="s">
        <v>1923</v>
      </c>
      <c r="C2678" s="347"/>
      <c r="D2678" s="348"/>
      <c r="E2678" s="1298">
        <v>222.42</v>
      </c>
      <c r="F2678" s="10" t="s">
        <v>9</v>
      </c>
      <c r="G2678" s="1055"/>
      <c r="H2678" s="10"/>
      <c r="I2678" s="10">
        <v>1.06</v>
      </c>
      <c r="J2678" s="10"/>
      <c r="K2678" s="326">
        <f>+E2678*I2678</f>
        <v>235.76519999999999</v>
      </c>
      <c r="L2678" s="10" t="s">
        <v>9</v>
      </c>
      <c r="N2678" s="342"/>
      <c r="O2678"/>
      <c r="P2678" s="412"/>
      <c r="Q2678" s="391"/>
      <c r="R2678" s="393"/>
    </row>
    <row r="2679" spans="1:21" s="49" customFormat="1" ht="30" customHeight="1" x14ac:dyDescent="0.25">
      <c r="A2679" s="10" t="s">
        <v>644</v>
      </c>
      <c r="B2679" s="323" t="s">
        <v>1589</v>
      </c>
      <c r="C2679" s="324"/>
      <c r="D2679" s="324"/>
      <c r="E2679" s="326">
        <v>4.01</v>
      </c>
      <c r="F2679" s="10" t="s">
        <v>9</v>
      </c>
      <c r="G2679" s="845"/>
      <c r="H2679" s="846"/>
      <c r="I2679" s="10">
        <v>1.06</v>
      </c>
      <c r="J2679" s="10"/>
      <c r="K2679" s="326">
        <f>+E2679*I2679</f>
        <v>4.2506000000000004</v>
      </c>
      <c r="L2679" s="10" t="s">
        <v>9</v>
      </c>
      <c r="M2679" s="502"/>
      <c r="N2679" s="502"/>
      <c r="P2679" s="412"/>
      <c r="Q2679" s="391"/>
      <c r="R2679" s="393"/>
    </row>
    <row r="2680" spans="1:21" ht="30" customHeight="1" x14ac:dyDescent="0.25">
      <c r="A2680" s="10" t="s">
        <v>664</v>
      </c>
      <c r="B2680" s="346" t="s">
        <v>1924</v>
      </c>
      <c r="C2680" s="347"/>
      <c r="D2680" s="348"/>
      <c r="E2680" s="326">
        <f>(19.15+29.75)/2</f>
        <v>24.45</v>
      </c>
      <c r="F2680" s="10" t="s">
        <v>9</v>
      </c>
      <c r="G2680" s="429">
        <f>81*E2680/H2676</f>
        <v>0.18107799213678341</v>
      </c>
      <c r="H2680" s="846" t="s">
        <v>1358</v>
      </c>
      <c r="I2680" s="10">
        <v>1.02</v>
      </c>
      <c r="J2680" s="10"/>
      <c r="K2680" s="326">
        <f t="shared" ref="K2680:K2685" si="50">+G2680*I2680</f>
        <v>0.18469955197951909</v>
      </c>
      <c r="L2680" s="10" t="s">
        <v>9</v>
      </c>
      <c r="M2680" s="419"/>
      <c r="N2680" s="420"/>
      <c r="O2680"/>
      <c r="P2680" s="412"/>
      <c r="Q2680" s="391"/>
      <c r="R2680" s="393"/>
    </row>
    <row r="2681" spans="1:21" ht="30" customHeight="1" x14ac:dyDescent="0.25">
      <c r="A2681" s="10" t="s">
        <v>664</v>
      </c>
      <c r="B2681" s="346" t="s">
        <v>1638</v>
      </c>
      <c r="C2681" s="347"/>
      <c r="D2681" s="348"/>
      <c r="E2681" s="326">
        <f>(1610+2280)/2</f>
        <v>1945</v>
      </c>
      <c r="F2681" s="10" t="s">
        <v>11</v>
      </c>
      <c r="G2681" s="14">
        <f>+E2681/H2676</f>
        <v>0.17783670110633629</v>
      </c>
      <c r="H2681" s="846" t="s">
        <v>1358</v>
      </c>
      <c r="I2681" s="10">
        <v>1.02</v>
      </c>
      <c r="J2681" s="10"/>
      <c r="K2681" s="326">
        <f t="shared" si="50"/>
        <v>0.18139343512846301</v>
      </c>
      <c r="L2681" s="10" t="s">
        <v>9</v>
      </c>
      <c r="M2681" s="419"/>
      <c r="N2681" s="420"/>
      <c r="O2681"/>
      <c r="P2681" s="412"/>
      <c r="Q2681" s="391"/>
      <c r="R2681" s="393"/>
    </row>
    <row r="2682" spans="1:21" ht="30" customHeight="1" x14ac:dyDescent="0.25">
      <c r="A2682" s="10" t="s">
        <v>668</v>
      </c>
      <c r="B2682" s="323" t="s">
        <v>1873</v>
      </c>
      <c r="C2682" s="324"/>
      <c r="D2682" s="325"/>
      <c r="E2682" s="326">
        <f>+(31.5+75)/2</f>
        <v>53.25</v>
      </c>
      <c r="F2682" s="10" t="s">
        <v>7</v>
      </c>
      <c r="G2682" s="14">
        <f>10*E2682/H2676</f>
        <v>4.8687940020115207E-2</v>
      </c>
      <c r="H2682" s="846" t="s">
        <v>1358</v>
      </c>
      <c r="I2682" s="10">
        <v>1.04</v>
      </c>
      <c r="J2682" s="10"/>
      <c r="K2682" s="326">
        <f t="shared" si="50"/>
        <v>5.0635457620919817E-2</v>
      </c>
      <c r="L2682" s="10" t="s">
        <v>9</v>
      </c>
      <c r="M2682" s="419"/>
      <c r="N2682" s="420"/>
      <c r="O2682"/>
      <c r="P2682" s="412"/>
      <c r="Q2682" s="391"/>
      <c r="R2682" s="393"/>
    </row>
    <row r="2683" spans="1:21" ht="30" customHeight="1" x14ac:dyDescent="0.25">
      <c r="A2683" s="10" t="s">
        <v>668</v>
      </c>
      <c r="B2683" s="334" t="s">
        <v>671</v>
      </c>
      <c r="C2683" s="335"/>
      <c r="D2683" s="336"/>
      <c r="E2683" s="326">
        <f>+(5900+11300)/2</f>
        <v>8600</v>
      </c>
      <c r="F2683" s="10" t="s">
        <v>11</v>
      </c>
      <c r="G2683" s="14">
        <f>+E2683/H2676</f>
        <v>0.78632166041876195</v>
      </c>
      <c r="H2683" s="846" t="s">
        <v>1358</v>
      </c>
      <c r="I2683" s="10">
        <v>1.04</v>
      </c>
      <c r="J2683" s="10"/>
      <c r="K2683" s="326">
        <f t="shared" si="50"/>
        <v>0.81777452683551244</v>
      </c>
      <c r="L2683" s="10" t="s">
        <v>9</v>
      </c>
      <c r="M2683" s="419"/>
      <c r="N2683" s="420"/>
      <c r="O2683"/>
      <c r="P2683" s="412"/>
      <c r="Q2683" s="391"/>
      <c r="R2683" s="393"/>
    </row>
    <row r="2684" spans="1:21" ht="30" customHeight="1" x14ac:dyDescent="0.25">
      <c r="A2684" s="10" t="s">
        <v>668</v>
      </c>
      <c r="B2684" s="323" t="s">
        <v>1895</v>
      </c>
      <c r="C2684" s="324"/>
      <c r="D2684" s="325"/>
      <c r="E2684" s="326">
        <f>+(605+925)/2</f>
        <v>765</v>
      </c>
      <c r="F2684" s="10" t="s">
        <v>11</v>
      </c>
      <c r="G2684" s="14">
        <f>+E2684/H2676</f>
        <v>6.9946054676785219E-2</v>
      </c>
      <c r="H2684" s="846" t="s">
        <v>1358</v>
      </c>
      <c r="I2684" s="10">
        <v>1.04</v>
      </c>
      <c r="J2684" s="10"/>
      <c r="K2684" s="326">
        <f t="shared" si="50"/>
        <v>7.2743896863856627E-2</v>
      </c>
      <c r="L2684" s="10" t="s">
        <v>9</v>
      </c>
      <c r="M2684" s="419"/>
      <c r="N2684" s="420"/>
      <c r="O2684"/>
      <c r="P2684" s="412"/>
      <c r="Q2684" s="391"/>
      <c r="R2684" s="393"/>
    </row>
    <row r="2685" spans="1:21" ht="30" customHeight="1" x14ac:dyDescent="0.25">
      <c r="A2685" s="10" t="s">
        <v>668</v>
      </c>
      <c r="B2685" s="323" t="s">
        <v>673</v>
      </c>
      <c r="C2685" s="324"/>
      <c r="D2685" s="325"/>
      <c r="E2685" s="326">
        <f>+(1060+3175)/2</f>
        <v>2117.5</v>
      </c>
      <c r="F2685" s="10" t="s">
        <v>11</v>
      </c>
      <c r="G2685" s="14">
        <f>+E2685/H2676</f>
        <v>0.19360885069031727</v>
      </c>
      <c r="H2685" s="846" t="s">
        <v>1358</v>
      </c>
      <c r="I2685" s="10">
        <v>1.04</v>
      </c>
      <c r="J2685" s="10"/>
      <c r="K2685" s="326">
        <f t="shared" si="50"/>
        <v>0.20135320471792997</v>
      </c>
      <c r="L2685" s="10" t="s">
        <v>9</v>
      </c>
      <c r="M2685" s="670"/>
      <c r="N2685" s="671"/>
      <c r="O2685" s="43"/>
      <c r="P2685" s="672"/>
      <c r="Q2685" s="671"/>
      <c r="R2685" s="673"/>
    </row>
    <row r="2686" spans="1:21" ht="30" customHeight="1" x14ac:dyDescent="0.25">
      <c r="A2686" s="10"/>
      <c r="B2686" s="701"/>
      <c r="C2686" s="701"/>
      <c r="D2686" s="701"/>
      <c r="E2686" s="326"/>
      <c r="F2686" s="10"/>
      <c r="G2686" s="845"/>
      <c r="H2686" s="846"/>
      <c r="I2686" s="10"/>
      <c r="J2686" s="10" t="s">
        <v>578</v>
      </c>
      <c r="K2686" s="326">
        <f>SUM(K2678:K2685)</f>
        <v>241.52440007314618</v>
      </c>
      <c r="L2686" s="10" t="s">
        <v>9</v>
      </c>
      <c r="M2686" s="670"/>
      <c r="N2686" s="671"/>
      <c r="O2686" s="43"/>
      <c r="P2686" s="672"/>
      <c r="Q2686" s="671"/>
      <c r="R2686" s="673"/>
    </row>
    <row r="2687" spans="1:21" ht="30" customHeight="1" x14ac:dyDescent="0.25">
      <c r="A2687" s="20"/>
      <c r="B2687" s="410"/>
      <c r="C2687" s="410"/>
      <c r="D2687" s="410"/>
      <c r="E2687" s="405"/>
      <c r="F2687" s="338" t="s">
        <v>533</v>
      </c>
      <c r="G2687" s="339" t="s">
        <v>534</v>
      </c>
      <c r="H2687" s="339"/>
      <c r="I2687" s="339"/>
      <c r="J2687" s="339"/>
      <c r="K2687" s="886">
        <v>1.0900000000000001</v>
      </c>
      <c r="L2687" s="10"/>
      <c r="M2687" s="419"/>
      <c r="N2687" s="420"/>
      <c r="O2687"/>
      <c r="P2687" s="412"/>
      <c r="Q2687" s="391"/>
      <c r="R2687" s="393"/>
    </row>
    <row r="2688" spans="1:21" ht="30" customHeight="1" x14ac:dyDescent="0.25">
      <c r="A2688" s="20"/>
      <c r="B2688" s="410"/>
      <c r="C2688" s="410"/>
      <c r="D2688" s="410"/>
      <c r="E2688" s="405"/>
      <c r="F2688" s="343"/>
      <c r="G2688" s="344" t="s">
        <v>535</v>
      </c>
      <c r="H2688" s="344"/>
      <c r="I2688" s="344"/>
      <c r="J2688" s="344"/>
      <c r="K2688" s="340">
        <v>1.02</v>
      </c>
      <c r="L2688" s="10"/>
      <c r="M2688" s="419"/>
      <c r="N2688" s="420"/>
      <c r="O2688"/>
      <c r="P2688" s="412"/>
      <c r="Q2688" s="391"/>
      <c r="R2688" s="393"/>
    </row>
    <row r="2689" spans="1:20" ht="30" customHeight="1" x14ac:dyDescent="0.25">
      <c r="A2689" s="10"/>
      <c r="B2689" s="10"/>
      <c r="C2689" s="13"/>
      <c r="D2689" s="13"/>
      <c r="E2689" s="13"/>
      <c r="F2689" s="13"/>
      <c r="G2689" s="13"/>
      <c r="H2689" s="13"/>
      <c r="I2689" s="13"/>
      <c r="J2689" s="10" t="s">
        <v>358</v>
      </c>
      <c r="K2689" s="14">
        <f>+K2686*K2687/K2688</f>
        <v>258.09960399973465</v>
      </c>
      <c r="L2689" s="10" t="s">
        <v>9</v>
      </c>
      <c r="M2689" s="419"/>
      <c r="N2689" s="420"/>
      <c r="O2689"/>
      <c r="P2689" s="412"/>
      <c r="Q2689" s="391"/>
      <c r="R2689" s="393"/>
    </row>
    <row r="2690" spans="1:20" s="41" customFormat="1" ht="30" customHeight="1" x14ac:dyDescent="0.25">
      <c r="A2690" s="10"/>
      <c r="B2690" s="10"/>
      <c r="C2690" s="13"/>
      <c r="D2690" s="13"/>
      <c r="E2690" s="13"/>
      <c r="F2690" s="13"/>
      <c r="G2690" s="13"/>
      <c r="H2690" s="556"/>
      <c r="I2690" s="969" t="s">
        <v>652</v>
      </c>
      <c r="J2690" s="361">
        <f>VLOOKUP(B2676,'Mil Cost Premiums for RUCs'!$A$4:$R$265,18,FALSE)</f>
        <v>1.3319480854780448</v>
      </c>
      <c r="K2690" s="14">
        <f>+K2689*J2690</f>
        <v>343.77527341008806</v>
      </c>
      <c r="L2690" s="10" t="s">
        <v>9</v>
      </c>
      <c r="M2690" s="419"/>
      <c r="N2690" s="420"/>
      <c r="O2690" s="27"/>
      <c r="P2690"/>
      <c r="Q2690"/>
      <c r="R2690"/>
      <c r="S2690"/>
      <c r="T2690"/>
    </row>
    <row r="2691" spans="1:20" s="49" customFormat="1" ht="75" customHeight="1" x14ac:dyDescent="0.25">
      <c r="A2691" s="577" t="s">
        <v>538</v>
      </c>
      <c r="B2691" s="578"/>
      <c r="C2691" s="578"/>
      <c r="D2691" s="578"/>
      <c r="E2691" s="578"/>
      <c r="F2691" s="578"/>
      <c r="G2691" s="578"/>
      <c r="H2691" s="578"/>
      <c r="I2691" s="578"/>
      <c r="J2691" s="578"/>
      <c r="K2691" s="578"/>
      <c r="L2691" s="579"/>
      <c r="M2691" s="674"/>
      <c r="N2691" s="420"/>
      <c r="O2691" s="27"/>
      <c r="P2691" s="50"/>
      <c r="Q2691" s="50"/>
      <c r="R2691" s="50"/>
      <c r="S2691" s="212"/>
      <c r="T2691" s="212"/>
    </row>
    <row r="2692" spans="1:20" ht="30" customHeight="1" x14ac:dyDescent="0.25">
      <c r="A2692" s="476" t="s">
        <v>539</v>
      </c>
      <c r="B2692" s="477"/>
      <c r="C2692" s="478"/>
      <c r="D2692" s="386" t="s">
        <v>1925</v>
      </c>
      <c r="E2692" s="849"/>
      <c r="F2692" s="849"/>
      <c r="G2692" s="849"/>
      <c r="H2692" s="849"/>
      <c r="I2692" s="849"/>
      <c r="J2692" s="849"/>
      <c r="K2692" s="849"/>
      <c r="L2692" s="850"/>
      <c r="M2692" s="341"/>
      <c r="P2692" s="43"/>
      <c r="Q2692" s="43"/>
      <c r="R2692" s="43"/>
      <c r="S2692" s="60"/>
      <c r="T2692" s="60"/>
    </row>
    <row r="2693" spans="1:20" ht="30" customHeight="1" x14ac:dyDescent="0.25">
      <c r="A2693" s="476" t="s">
        <v>541</v>
      </c>
      <c r="B2693" s="477"/>
      <c r="C2693" s="478"/>
      <c r="D2693" s="386" t="s">
        <v>1926</v>
      </c>
      <c r="E2693" s="849"/>
      <c r="F2693" s="849"/>
      <c r="G2693" s="849"/>
      <c r="H2693" s="849"/>
      <c r="I2693" s="849"/>
      <c r="J2693" s="849"/>
      <c r="K2693" s="849"/>
      <c r="L2693" s="850"/>
      <c r="O2693"/>
      <c r="P2693" s="412"/>
      <c r="Q2693" s="391"/>
      <c r="R2693" s="393"/>
    </row>
    <row r="2694" spans="1:20" ht="30" customHeight="1" x14ac:dyDescent="0.25">
      <c r="A2694" s="476" t="s">
        <v>543</v>
      </c>
      <c r="B2694" s="477"/>
      <c r="C2694" s="478"/>
      <c r="D2694" s="386" t="s">
        <v>1927</v>
      </c>
      <c r="E2694" s="849"/>
      <c r="F2694" s="849"/>
      <c r="G2694" s="849"/>
      <c r="H2694" s="849"/>
      <c r="I2694" s="849"/>
      <c r="J2694" s="849"/>
      <c r="K2694" s="849"/>
      <c r="L2694" s="850"/>
      <c r="M2694" s="43"/>
      <c r="O2694"/>
      <c r="P2694" s="412"/>
      <c r="Q2694" s="391"/>
      <c r="R2694" s="393"/>
    </row>
    <row r="2695" spans="1:20" ht="45" customHeight="1" x14ac:dyDescent="0.25">
      <c r="A2695" s="217" t="s">
        <v>546</v>
      </c>
      <c r="B2695" s="218"/>
      <c r="C2695" s="219"/>
      <c r="D2695" s="386" t="s">
        <v>1611</v>
      </c>
      <c r="E2695" s="849"/>
      <c r="F2695" s="849"/>
      <c r="G2695" s="849"/>
      <c r="H2695" s="849"/>
      <c r="I2695" s="849"/>
      <c r="J2695" s="849"/>
      <c r="K2695" s="849"/>
      <c r="L2695" s="850"/>
      <c r="M2695" s="419"/>
      <c r="N2695" s="420"/>
      <c r="O2695"/>
      <c r="P2695" s="412"/>
      <c r="Q2695" s="391"/>
      <c r="R2695" s="393"/>
    </row>
    <row r="2696" spans="1:20" s="49" customFormat="1" ht="45" customHeight="1" x14ac:dyDescent="0.25">
      <c r="A2696" s="217" t="s">
        <v>548</v>
      </c>
      <c r="B2696" s="218"/>
      <c r="C2696" s="219"/>
      <c r="D2696" s="386" t="s">
        <v>1928</v>
      </c>
      <c r="E2696" s="849"/>
      <c r="F2696" s="849"/>
      <c r="G2696" s="849"/>
      <c r="H2696" s="849"/>
      <c r="I2696" s="849"/>
      <c r="J2696" s="849"/>
      <c r="K2696" s="849"/>
      <c r="L2696" s="850"/>
      <c r="M2696" s="425"/>
      <c r="N2696" s="420"/>
      <c r="P2696" s="412"/>
      <c r="Q2696" s="391"/>
      <c r="R2696" s="393"/>
    </row>
    <row r="2697" spans="1:20" ht="30" customHeight="1" x14ac:dyDescent="0.25">
      <c r="A2697" s="217" t="s">
        <v>550</v>
      </c>
      <c r="B2697" s="218"/>
      <c r="C2697" s="219"/>
      <c r="D2697" s="386" t="s">
        <v>1929</v>
      </c>
      <c r="E2697" s="849"/>
      <c r="F2697" s="849"/>
      <c r="G2697" s="849"/>
      <c r="H2697" s="849"/>
      <c r="I2697" s="849"/>
      <c r="J2697" s="849"/>
      <c r="K2697" s="849"/>
      <c r="L2697" s="850"/>
      <c r="M2697" s="419"/>
      <c r="N2697" s="420"/>
      <c r="O2697"/>
      <c r="P2697" s="412"/>
      <c r="Q2697" s="391"/>
      <c r="R2697" s="393"/>
    </row>
    <row r="2698" spans="1:20" ht="30" customHeight="1" x14ac:dyDescent="0.25">
      <c r="A2698" s="217" t="s">
        <v>552</v>
      </c>
      <c r="B2698" s="218"/>
      <c r="C2698" s="219"/>
      <c r="D2698" s="386" t="s">
        <v>1613</v>
      </c>
      <c r="E2698" s="849"/>
      <c r="F2698" s="849"/>
      <c r="G2698" s="849"/>
      <c r="H2698" s="849"/>
      <c r="I2698" s="849"/>
      <c r="J2698" s="849"/>
      <c r="K2698" s="849"/>
      <c r="L2698" s="850"/>
      <c r="M2698" s="419"/>
      <c r="N2698" s="420"/>
      <c r="O2698"/>
      <c r="P2698" s="412"/>
      <c r="Q2698" s="391"/>
      <c r="R2698" s="393"/>
    </row>
    <row r="2699" spans="1:20" ht="30" customHeight="1" x14ac:dyDescent="0.25">
      <c r="A2699" s="217" t="s">
        <v>553</v>
      </c>
      <c r="B2699" s="218"/>
      <c r="C2699" s="219"/>
      <c r="D2699" s="386" t="s">
        <v>660</v>
      </c>
      <c r="E2699" s="849"/>
      <c r="F2699" s="849"/>
      <c r="G2699" s="849"/>
      <c r="H2699" s="849"/>
      <c r="I2699" s="849"/>
      <c r="J2699" s="849"/>
      <c r="K2699" s="849"/>
      <c r="L2699" s="850"/>
      <c r="M2699" s="419"/>
      <c r="N2699" s="420"/>
      <c r="O2699"/>
      <c r="P2699" s="412"/>
      <c r="Q2699" s="391"/>
      <c r="R2699" s="393"/>
    </row>
    <row r="2700" spans="1:20" s="25" customFormat="1" ht="45" customHeight="1" thickBot="1" x14ac:dyDescent="0.3">
      <c r="A2700" s="476" t="s">
        <v>556</v>
      </c>
      <c r="B2700" s="477"/>
      <c r="C2700" s="478"/>
      <c r="D2700" s="386" t="s">
        <v>1930</v>
      </c>
      <c r="E2700" s="849"/>
      <c r="F2700" s="849"/>
      <c r="G2700" s="849"/>
      <c r="H2700" s="849"/>
      <c r="I2700" s="849"/>
      <c r="J2700" s="849"/>
      <c r="K2700" s="849"/>
      <c r="L2700" s="850"/>
      <c r="M2700" s="419"/>
      <c r="N2700" s="420"/>
      <c r="P2700" s="566"/>
      <c r="Q2700" s="420"/>
      <c r="R2700" s="567"/>
    </row>
    <row r="2701" spans="1:20" ht="30" customHeight="1" thickBot="1" x14ac:dyDescent="0.3">
      <c r="A2701" s="76"/>
      <c r="B2701" s="77"/>
      <c r="C2701" s="77"/>
      <c r="D2701" s="77"/>
      <c r="E2701" s="77"/>
      <c r="F2701" s="77"/>
      <c r="G2701" s="77"/>
      <c r="H2701" s="77"/>
      <c r="I2701" s="77"/>
      <c r="J2701" s="77"/>
      <c r="K2701" s="77"/>
      <c r="L2701" s="78"/>
      <c r="M2701" s="419"/>
      <c r="N2701" s="420"/>
      <c r="O2701"/>
      <c r="P2701" s="412"/>
      <c r="Q2701" s="391"/>
      <c r="R2701" s="393"/>
    </row>
    <row r="2702" spans="1:20" ht="30" customHeight="1" x14ac:dyDescent="0.25">
      <c r="A2702" s="30" t="s">
        <v>288</v>
      </c>
      <c r="B2702" s="208">
        <v>5303</v>
      </c>
      <c r="C2702" s="209" t="s">
        <v>1931</v>
      </c>
      <c r="D2702" s="210"/>
      <c r="E2702" s="177" t="s">
        <v>291</v>
      </c>
      <c r="F2702" s="178" t="s">
        <v>9</v>
      </c>
      <c r="G2702" s="123" t="s">
        <v>375</v>
      </c>
      <c r="H2702" s="539">
        <v>4980</v>
      </c>
      <c r="I2702" s="177" t="s">
        <v>292</v>
      </c>
      <c r="J2702" s="38" t="s">
        <v>883</v>
      </c>
      <c r="K2702" s="38"/>
      <c r="L2702" s="389"/>
      <c r="M2702" s="419"/>
      <c r="N2702" s="420"/>
      <c r="O2702"/>
      <c r="P2702" s="412"/>
      <c r="Q2702" s="391"/>
      <c r="R2702" s="393"/>
    </row>
    <row r="2703" spans="1:20" ht="30" customHeight="1" x14ac:dyDescent="0.25">
      <c r="A2703" s="48" t="s">
        <v>529</v>
      </c>
      <c r="B2703" s="394" t="s">
        <v>560</v>
      </c>
      <c r="C2703" s="395"/>
      <c r="D2703" s="396"/>
      <c r="E2703" s="397" t="s">
        <v>519</v>
      </c>
      <c r="F2703" s="397" t="s">
        <v>561</v>
      </c>
      <c r="G2703" s="398" t="s">
        <v>562</v>
      </c>
      <c r="H2703" s="399"/>
      <c r="I2703" s="181" t="s">
        <v>530</v>
      </c>
      <c r="J2703" s="181"/>
      <c r="K2703" s="288" t="s">
        <v>521</v>
      </c>
      <c r="L2703" s="289"/>
      <c r="M2703" s="419"/>
      <c r="N2703" s="420"/>
      <c r="O2703"/>
      <c r="P2703" s="412"/>
      <c r="Q2703" s="391"/>
      <c r="R2703" s="393"/>
    </row>
    <row r="2704" spans="1:20" ht="45" customHeight="1" x14ac:dyDescent="0.25">
      <c r="A2704" s="1299" t="s">
        <v>1932</v>
      </c>
      <c r="B2704" s="503" t="s">
        <v>1933</v>
      </c>
      <c r="C2704" s="504"/>
      <c r="D2704" s="505"/>
      <c r="E2704" s="405">
        <v>169</v>
      </c>
      <c r="F2704" s="20" t="s">
        <v>9</v>
      </c>
      <c r="G2704" s="522"/>
      <c r="H2704" s="20"/>
      <c r="I2704" s="20">
        <v>1.07</v>
      </c>
      <c r="J2704" s="751"/>
      <c r="K2704" s="405">
        <f>+E2704*I2704</f>
        <v>180.83</v>
      </c>
      <c r="L2704" s="20" t="s">
        <v>9</v>
      </c>
      <c r="M2704" s="419"/>
      <c r="N2704" s="420"/>
      <c r="O2704"/>
      <c r="P2704" s="412"/>
      <c r="Q2704" s="391"/>
      <c r="R2704" s="393"/>
    </row>
    <row r="2705" spans="1:18" ht="30" customHeight="1" x14ac:dyDescent="0.25">
      <c r="A2705" s="1299" t="s">
        <v>1934</v>
      </c>
      <c r="B2705" s="402" t="s">
        <v>1935</v>
      </c>
      <c r="C2705" s="403"/>
      <c r="D2705" s="404"/>
      <c r="E2705" s="1092">
        <v>3.73</v>
      </c>
      <c r="F2705" s="20" t="s">
        <v>9</v>
      </c>
      <c r="G2705" s="1098"/>
      <c r="H2705" s="754"/>
      <c r="I2705" s="20">
        <v>1.07</v>
      </c>
      <c r="J2705" s="751"/>
      <c r="K2705" s="405">
        <f>+E2705*I2705</f>
        <v>3.9911000000000003</v>
      </c>
      <c r="L2705" s="20" t="s">
        <v>9</v>
      </c>
      <c r="M2705" s="419"/>
      <c r="N2705" s="420"/>
      <c r="O2705"/>
      <c r="P2705" s="412"/>
      <c r="Q2705" s="391"/>
      <c r="R2705" s="393"/>
    </row>
    <row r="2706" spans="1:18" ht="30" customHeight="1" x14ac:dyDescent="0.25">
      <c r="A2706" s="61"/>
      <c r="B2706" s="191"/>
      <c r="C2706" s="191"/>
      <c r="D2706" s="191"/>
      <c r="E2706" s="405"/>
      <c r="F2706" s="20"/>
      <c r="G2706" s="838"/>
      <c r="H2706" s="754"/>
      <c r="I2706" s="20"/>
      <c r="J2706" s="20" t="s">
        <v>578</v>
      </c>
      <c r="K2706" s="405">
        <f>SUM(K2704:K2705)</f>
        <v>184.8211</v>
      </c>
      <c r="L2706" s="20" t="s">
        <v>9</v>
      </c>
      <c r="M2706" s="670"/>
      <c r="N2706" s="671"/>
      <c r="O2706" s="43"/>
      <c r="P2706" s="672"/>
      <c r="Q2706" s="671"/>
      <c r="R2706" s="673"/>
    </row>
    <row r="2707" spans="1:18" ht="30" customHeight="1" x14ac:dyDescent="0.25">
      <c r="A2707" s="61"/>
      <c r="B2707" s="410"/>
      <c r="C2707" s="410"/>
      <c r="D2707" s="410"/>
      <c r="E2707" s="405"/>
      <c r="F2707" s="338" t="s">
        <v>533</v>
      </c>
      <c r="G2707" s="339" t="s">
        <v>534</v>
      </c>
      <c r="H2707" s="339"/>
      <c r="I2707" s="339"/>
      <c r="J2707" s="339"/>
      <c r="K2707" s="886">
        <v>1.0900000000000001</v>
      </c>
      <c r="L2707" s="10"/>
      <c r="M2707" s="670"/>
      <c r="N2707" s="671"/>
      <c r="O2707" s="43"/>
      <c r="P2707" s="672"/>
      <c r="Q2707" s="671"/>
      <c r="R2707" s="673"/>
    </row>
    <row r="2708" spans="1:18" ht="30" customHeight="1" x14ac:dyDescent="0.25">
      <c r="A2708" s="61"/>
      <c r="B2708" s="410"/>
      <c r="C2708" s="410"/>
      <c r="D2708" s="410"/>
      <c r="E2708" s="405"/>
      <c r="F2708" s="343"/>
      <c r="G2708" s="344" t="s">
        <v>535</v>
      </c>
      <c r="H2708" s="344"/>
      <c r="I2708" s="344"/>
      <c r="J2708" s="344"/>
      <c r="K2708" s="340">
        <v>1.02</v>
      </c>
      <c r="L2708" s="10"/>
      <c r="M2708" s="419"/>
      <c r="N2708" s="420"/>
      <c r="O2708"/>
      <c r="P2708" s="412"/>
      <c r="Q2708" s="391"/>
      <c r="R2708" s="393"/>
    </row>
    <row r="2709" spans="1:18" ht="30" customHeight="1" x14ac:dyDescent="0.25">
      <c r="A2709" s="61"/>
      <c r="B2709" s="20"/>
      <c r="C2709" s="18"/>
      <c r="D2709" s="18"/>
      <c r="E2709" s="18"/>
      <c r="F2709" s="18"/>
      <c r="G2709" s="18"/>
      <c r="H2709" s="18"/>
      <c r="I2709" s="18"/>
      <c r="J2709" s="20" t="s">
        <v>358</v>
      </c>
      <c r="K2709" s="23">
        <f>+K2706*K2707/K2708</f>
        <v>197.50490098039216</v>
      </c>
      <c r="L2709" s="20" t="s">
        <v>9</v>
      </c>
      <c r="M2709" s="419"/>
      <c r="N2709" s="420"/>
      <c r="O2709"/>
      <c r="P2709" s="412"/>
      <c r="Q2709" s="391"/>
      <c r="R2709" s="393"/>
    </row>
    <row r="2710" spans="1:18" ht="30" customHeight="1" thickBot="1" x14ac:dyDescent="0.3">
      <c r="A2710" s="61"/>
      <c r="B2710" s="61"/>
      <c r="C2710" s="63"/>
      <c r="D2710" s="63"/>
      <c r="E2710" s="63"/>
      <c r="F2710" s="63"/>
      <c r="G2710" s="64"/>
      <c r="H2710" s="63"/>
      <c r="I2710" s="1300" t="s">
        <v>537</v>
      </c>
      <c r="J2710" s="447">
        <f>VLOOKUP(B2702,'Mil Cost Premiums for RUCs'!$A$4:$R$265,18,FALSE)</f>
        <v>1.3319480854780448</v>
      </c>
      <c r="K2710" s="21">
        <f>+K2709*J2710</f>
        <v>263.06627473336414</v>
      </c>
      <c r="L2710" s="61" t="s">
        <v>9</v>
      </c>
      <c r="M2710" s="419"/>
      <c r="N2710" s="420"/>
      <c r="O2710"/>
      <c r="P2710" s="412"/>
      <c r="Q2710" s="391"/>
      <c r="R2710" s="393"/>
    </row>
    <row r="2711" spans="1:18" ht="30" customHeight="1" thickBot="1" x14ac:dyDescent="0.3">
      <c r="A2711" s="76"/>
      <c r="B2711" s="77"/>
      <c r="C2711" s="77"/>
      <c r="D2711" s="77"/>
      <c r="E2711" s="77"/>
      <c r="F2711" s="77"/>
      <c r="G2711" s="77"/>
      <c r="H2711" s="77"/>
      <c r="I2711" s="77"/>
      <c r="J2711" s="77"/>
      <c r="K2711" s="77"/>
      <c r="L2711" s="78"/>
      <c r="M2711" s="419"/>
      <c r="N2711" s="420"/>
      <c r="O2711"/>
      <c r="P2711" s="412"/>
      <c r="Q2711" s="391"/>
      <c r="R2711" s="393"/>
    </row>
    <row r="2712" spans="1:18" ht="30" customHeight="1" x14ac:dyDescent="0.25">
      <c r="A2712" s="30" t="s">
        <v>288</v>
      </c>
      <c r="B2712" s="208">
        <v>5304</v>
      </c>
      <c r="C2712" s="209" t="s">
        <v>1936</v>
      </c>
      <c r="D2712" s="210"/>
      <c r="E2712" s="177" t="s">
        <v>291</v>
      </c>
      <c r="F2712" s="178" t="s">
        <v>9</v>
      </c>
      <c r="G2712" s="123" t="s">
        <v>375</v>
      </c>
      <c r="H2712" s="539">
        <v>3337</v>
      </c>
      <c r="I2712" s="177" t="s">
        <v>292</v>
      </c>
      <c r="J2712" s="38" t="s">
        <v>883</v>
      </c>
      <c r="K2712" s="38"/>
      <c r="L2712" s="389"/>
      <c r="M2712" s="419"/>
      <c r="N2712" s="420"/>
      <c r="O2712"/>
      <c r="P2712" s="412"/>
      <c r="Q2712" s="391"/>
      <c r="R2712" s="393"/>
    </row>
    <row r="2713" spans="1:18" ht="30" customHeight="1" x14ac:dyDescent="0.25">
      <c r="A2713" s="48" t="s">
        <v>529</v>
      </c>
      <c r="B2713" s="394" t="s">
        <v>560</v>
      </c>
      <c r="C2713" s="395"/>
      <c r="D2713" s="396"/>
      <c r="E2713" s="397" t="s">
        <v>519</v>
      </c>
      <c r="F2713" s="397" t="s">
        <v>561</v>
      </c>
      <c r="G2713" s="398" t="s">
        <v>562</v>
      </c>
      <c r="H2713" s="399"/>
      <c r="I2713" s="181" t="s">
        <v>530</v>
      </c>
      <c r="J2713" s="181"/>
      <c r="K2713" s="288" t="s">
        <v>521</v>
      </c>
      <c r="L2713" s="289"/>
      <c r="M2713" s="419"/>
      <c r="N2713" s="420"/>
      <c r="O2713"/>
      <c r="P2713" s="412"/>
      <c r="Q2713" s="391"/>
      <c r="R2713" s="393"/>
    </row>
    <row r="2714" spans="1:18" ht="30" customHeight="1" x14ac:dyDescent="0.25">
      <c r="A2714" s="1299" t="s">
        <v>1937</v>
      </c>
      <c r="B2714" s="402" t="s">
        <v>1938</v>
      </c>
      <c r="C2714" s="403"/>
      <c r="D2714" s="404"/>
      <c r="E2714" s="405">
        <f>196.62-3.99</f>
        <v>192.63</v>
      </c>
      <c r="F2714" s="20" t="s">
        <v>9</v>
      </c>
      <c r="G2714" s="522"/>
      <c r="H2714" s="20"/>
      <c r="I2714" s="20">
        <v>1.04</v>
      </c>
      <c r="J2714" s="20"/>
      <c r="K2714" s="405">
        <f>+E2714*I2714</f>
        <v>200.33520000000001</v>
      </c>
      <c r="L2714" s="20" t="s">
        <v>9</v>
      </c>
      <c r="M2714" s="419"/>
      <c r="N2714" s="420"/>
      <c r="O2714"/>
      <c r="P2714" s="412"/>
      <c r="Q2714" s="391"/>
      <c r="R2714" s="393"/>
    </row>
    <row r="2715" spans="1:18" ht="30" customHeight="1" x14ac:dyDescent="0.25">
      <c r="A2715" s="1299" t="s">
        <v>691</v>
      </c>
      <c r="B2715" s="402" t="s">
        <v>1935</v>
      </c>
      <c r="C2715" s="403"/>
      <c r="D2715" s="404"/>
      <c r="E2715" s="1092">
        <v>4.1399999999999997</v>
      </c>
      <c r="F2715" s="20" t="s">
        <v>9</v>
      </c>
      <c r="G2715" s="1098"/>
      <c r="H2715" s="754"/>
      <c r="I2715" s="20">
        <v>1.04</v>
      </c>
      <c r="J2715" s="20"/>
      <c r="K2715" s="405">
        <f>+E2715*I2715</f>
        <v>4.3056000000000001</v>
      </c>
      <c r="L2715" s="20" t="s">
        <v>9</v>
      </c>
      <c r="M2715" s="419"/>
      <c r="N2715" s="420"/>
      <c r="O2715"/>
      <c r="P2715" s="412"/>
      <c r="Q2715" s="391"/>
      <c r="R2715" s="393"/>
    </row>
    <row r="2716" spans="1:18" ht="30" customHeight="1" x14ac:dyDescent="0.25">
      <c r="A2716" s="61"/>
      <c r="B2716" s="191"/>
      <c r="C2716" s="191"/>
      <c r="D2716" s="191"/>
      <c r="E2716" s="405"/>
      <c r="F2716" s="20"/>
      <c r="G2716" s="838"/>
      <c r="H2716" s="754"/>
      <c r="I2716" s="20"/>
      <c r="J2716" s="20" t="s">
        <v>578</v>
      </c>
      <c r="K2716" s="405">
        <f>SUM(K2714:K2715)</f>
        <v>204.64080000000001</v>
      </c>
      <c r="L2716" s="20" t="s">
        <v>9</v>
      </c>
      <c r="M2716" s="419"/>
      <c r="N2716" s="420"/>
      <c r="O2716"/>
      <c r="P2716" s="412"/>
      <c r="Q2716" s="391"/>
      <c r="R2716" s="393"/>
    </row>
    <row r="2717" spans="1:18" ht="30" customHeight="1" x14ac:dyDescent="0.25">
      <c r="A2717" s="61"/>
      <c r="B2717" s="1285" t="s">
        <v>1905</v>
      </c>
      <c r="C2717" s="1286"/>
      <c r="D2717" s="1287"/>
      <c r="E2717" s="405"/>
      <c r="F2717" s="338" t="s">
        <v>533</v>
      </c>
      <c r="G2717" s="339" t="s">
        <v>534</v>
      </c>
      <c r="H2717" s="339"/>
      <c r="I2717" s="339"/>
      <c r="J2717" s="339"/>
      <c r="K2717" s="886">
        <v>1.0900000000000001</v>
      </c>
      <c r="L2717" s="10"/>
      <c r="M2717" s="419"/>
      <c r="N2717" s="420"/>
      <c r="O2717"/>
      <c r="P2717" s="412"/>
      <c r="Q2717" s="391"/>
      <c r="R2717" s="393"/>
    </row>
    <row r="2718" spans="1:18" ht="30" customHeight="1" x14ac:dyDescent="0.25">
      <c r="A2718" s="61"/>
      <c r="B2718" s="998" t="s">
        <v>1939</v>
      </c>
      <c r="C2718" s="999"/>
      <c r="D2718" s="1000"/>
      <c r="E2718" s="405"/>
      <c r="F2718" s="343"/>
      <c r="G2718" s="344" t="s">
        <v>535</v>
      </c>
      <c r="H2718" s="344"/>
      <c r="I2718" s="344"/>
      <c r="J2718" s="344"/>
      <c r="K2718" s="340">
        <v>1.02</v>
      </c>
      <c r="L2718" s="10"/>
      <c r="M2718" s="419"/>
      <c r="N2718" s="420"/>
      <c r="O2718"/>
      <c r="P2718" s="412"/>
      <c r="Q2718" s="391"/>
      <c r="R2718" s="393"/>
    </row>
    <row r="2719" spans="1:18" ht="30" customHeight="1" x14ac:dyDescent="0.25">
      <c r="A2719" s="61"/>
      <c r="B2719" s="20"/>
      <c r="C2719" s="18"/>
      <c r="D2719" s="18"/>
      <c r="E2719" s="18"/>
      <c r="F2719" s="18"/>
      <c r="G2719" s="18"/>
      <c r="H2719" s="18"/>
      <c r="I2719" s="18"/>
      <c r="J2719" s="20" t="s">
        <v>358</v>
      </c>
      <c r="K2719" s="23">
        <f>+K2716*K2717/K2718</f>
        <v>218.68477647058825</v>
      </c>
      <c r="L2719" s="20" t="s">
        <v>9</v>
      </c>
      <c r="M2719" s="419"/>
      <c r="N2719" s="420"/>
      <c r="O2719"/>
      <c r="P2719" s="412"/>
      <c r="Q2719" s="391"/>
      <c r="R2719" s="393"/>
    </row>
    <row r="2720" spans="1:18" ht="30" customHeight="1" thickBot="1" x14ac:dyDescent="0.3">
      <c r="A2720" s="61"/>
      <c r="B2720" s="20"/>
      <c r="C2720" s="18"/>
      <c r="D2720" s="18"/>
      <c r="E2720" s="18"/>
      <c r="F2720" s="18"/>
      <c r="G2720" s="413" t="s">
        <v>537</v>
      </c>
      <c r="H2720" s="18"/>
      <c r="I2720" s="18"/>
      <c r="J2720" s="361">
        <f>VLOOKUP(B2712,'Mil Cost Premiums for RUCs'!$A$4:$R$265,18,FALSE)</f>
        <v>1.3319480854780448</v>
      </c>
      <c r="K2720" s="23">
        <f>+K2719*J2720</f>
        <v>291.27676934319419</v>
      </c>
      <c r="L2720" s="20" t="s">
        <v>9</v>
      </c>
      <c r="M2720" s="419"/>
      <c r="N2720" s="420"/>
      <c r="O2720"/>
      <c r="P2720" s="412"/>
      <c r="Q2720" s="391"/>
      <c r="R2720" s="393"/>
    </row>
    <row r="2721" spans="1:18" ht="30" customHeight="1" thickBot="1" x14ac:dyDescent="0.3">
      <c r="A2721" s="76"/>
      <c r="B2721" s="77"/>
      <c r="C2721" s="77"/>
      <c r="D2721" s="77"/>
      <c r="E2721" s="77"/>
      <c r="F2721" s="77"/>
      <c r="G2721" s="77"/>
      <c r="H2721" s="77"/>
      <c r="I2721" s="77"/>
      <c r="J2721" s="77"/>
      <c r="K2721" s="77"/>
      <c r="L2721" s="78"/>
      <c r="M2721" s="419"/>
      <c r="N2721" s="420"/>
      <c r="O2721"/>
      <c r="P2721" s="412"/>
      <c r="Q2721" s="391"/>
      <c r="R2721" s="393"/>
    </row>
    <row r="2722" spans="1:18" s="49" customFormat="1" ht="30" customHeight="1" x14ac:dyDescent="0.25">
      <c r="A2722" s="30" t="s">
        <v>288</v>
      </c>
      <c r="B2722" s="208">
        <v>5306</v>
      </c>
      <c r="C2722" s="209" t="s">
        <v>1940</v>
      </c>
      <c r="D2722" s="210"/>
      <c r="E2722" s="177" t="s">
        <v>291</v>
      </c>
      <c r="F2722" s="178" t="s">
        <v>9</v>
      </c>
      <c r="G2722" s="123" t="s">
        <v>375</v>
      </c>
      <c r="H2722" s="539">
        <v>21794</v>
      </c>
      <c r="I2722" s="177" t="s">
        <v>292</v>
      </c>
      <c r="J2722" s="38" t="s">
        <v>883</v>
      </c>
      <c r="K2722" s="38"/>
      <c r="L2722" s="389"/>
      <c r="M2722" s="425"/>
      <c r="N2722" s="420"/>
      <c r="P2722" s="412"/>
      <c r="Q2722" s="391"/>
      <c r="R2722" s="393"/>
    </row>
    <row r="2723" spans="1:18" ht="30" customHeight="1" x14ac:dyDescent="0.25">
      <c r="A2723" s="48" t="s">
        <v>529</v>
      </c>
      <c r="B2723" s="394" t="s">
        <v>560</v>
      </c>
      <c r="C2723" s="395"/>
      <c r="D2723" s="396"/>
      <c r="E2723" s="397" t="s">
        <v>519</v>
      </c>
      <c r="F2723" s="397" t="s">
        <v>561</v>
      </c>
      <c r="G2723" s="398" t="s">
        <v>562</v>
      </c>
      <c r="H2723" s="399"/>
      <c r="I2723" s="181" t="s">
        <v>530</v>
      </c>
      <c r="J2723" s="181"/>
      <c r="K2723" s="288" t="s">
        <v>521</v>
      </c>
      <c r="L2723" s="289"/>
      <c r="M2723" s="419"/>
      <c r="N2723" s="420"/>
      <c r="O2723"/>
      <c r="P2723" s="412"/>
      <c r="Q2723" s="391"/>
      <c r="R2723" s="393"/>
    </row>
    <row r="2724" spans="1:18" ht="30" customHeight="1" x14ac:dyDescent="0.25">
      <c r="A2724" s="1299" t="s">
        <v>1856</v>
      </c>
      <c r="B2724" s="503" t="s">
        <v>1941</v>
      </c>
      <c r="C2724" s="504"/>
      <c r="D2724" s="505"/>
      <c r="E2724" s="405">
        <v>79.39</v>
      </c>
      <c r="F2724" s="20" t="s">
        <v>9</v>
      </c>
      <c r="G2724" s="522"/>
      <c r="H2724" s="20"/>
      <c r="I2724" s="20">
        <v>1.06</v>
      </c>
      <c r="J2724" s="751"/>
      <c r="K2724" s="405">
        <f>+E2724*I2724</f>
        <v>84.153400000000005</v>
      </c>
      <c r="L2724" s="20" t="s">
        <v>9</v>
      </c>
      <c r="M2724" s="419"/>
      <c r="N2724" s="420"/>
      <c r="O2724"/>
      <c r="P2724" s="412"/>
      <c r="Q2724" s="391"/>
      <c r="R2724" s="393"/>
    </row>
    <row r="2725" spans="1:18" ht="30" customHeight="1" x14ac:dyDescent="0.25">
      <c r="A2725" s="1301" t="s">
        <v>1856</v>
      </c>
      <c r="B2725" s="165" t="s">
        <v>1942</v>
      </c>
      <c r="C2725" s="1302"/>
      <c r="D2725" s="1303"/>
      <c r="E2725" s="1304">
        <v>22.25</v>
      </c>
      <c r="F2725" s="20" t="s">
        <v>9</v>
      </c>
      <c r="G2725" s="1305"/>
      <c r="H2725" s="1306"/>
      <c r="I2725" s="20">
        <v>1.06</v>
      </c>
      <c r="J2725" s="751"/>
      <c r="K2725" s="405">
        <f>+E2725*I2725</f>
        <v>23.585000000000001</v>
      </c>
      <c r="L2725" s="20" t="s">
        <v>9</v>
      </c>
      <c r="M2725" s="419"/>
      <c r="N2725" s="420"/>
      <c r="O2725"/>
      <c r="P2725" s="412"/>
      <c r="Q2725" s="391"/>
      <c r="R2725" s="393"/>
    </row>
    <row r="2726" spans="1:18" ht="30" customHeight="1" x14ac:dyDescent="0.25">
      <c r="A2726" s="1299" t="s">
        <v>644</v>
      </c>
      <c r="B2726" s="191" t="s">
        <v>1943</v>
      </c>
      <c r="C2726" s="191"/>
      <c r="D2726" s="191"/>
      <c r="E2726" s="23">
        <v>3.53</v>
      </c>
      <c r="F2726" s="20" t="s">
        <v>9</v>
      </c>
      <c r="G2726" s="598"/>
      <c r="H2726" s="754"/>
      <c r="I2726" s="20">
        <v>1.06</v>
      </c>
      <c r="J2726" s="751"/>
      <c r="K2726" s="405">
        <f>+E2726*I2726</f>
        <v>3.7418</v>
      </c>
      <c r="L2726" s="20" t="s">
        <v>9</v>
      </c>
      <c r="M2726" s="670"/>
      <c r="N2726" s="671"/>
      <c r="O2726" s="43"/>
      <c r="P2726" s="672"/>
      <c r="Q2726" s="671"/>
      <c r="R2726" s="673"/>
    </row>
    <row r="2727" spans="1:18" ht="30" customHeight="1" x14ac:dyDescent="0.25">
      <c r="A2727" s="61"/>
      <c r="B2727" s="191"/>
      <c r="C2727" s="191"/>
      <c r="D2727" s="191"/>
      <c r="E2727" s="405"/>
      <c r="F2727" s="20"/>
      <c r="G2727" s="838"/>
      <c r="H2727" s="754"/>
      <c r="I2727" s="20"/>
      <c r="J2727" s="20" t="s">
        <v>578</v>
      </c>
      <c r="K2727" s="405">
        <f>SUM(K2724:K2726)</f>
        <v>111.48020000000001</v>
      </c>
      <c r="L2727" s="20" t="s">
        <v>9</v>
      </c>
      <c r="M2727" s="670"/>
      <c r="N2727" s="671"/>
      <c r="O2727" s="43"/>
      <c r="P2727" s="672"/>
      <c r="Q2727" s="671"/>
      <c r="R2727" s="673"/>
    </row>
    <row r="2728" spans="1:18" ht="30" customHeight="1" x14ac:dyDescent="0.25">
      <c r="A2728" s="61"/>
      <c r="B2728" s="1285" t="s">
        <v>1905</v>
      </c>
      <c r="C2728" s="1286"/>
      <c r="D2728" s="1287"/>
      <c r="E2728" s="405"/>
      <c r="F2728" s="338" t="s">
        <v>533</v>
      </c>
      <c r="G2728" s="339" t="s">
        <v>534</v>
      </c>
      <c r="H2728" s="339"/>
      <c r="I2728" s="339"/>
      <c r="J2728" s="339"/>
      <c r="K2728" s="886">
        <v>1.0900000000000001</v>
      </c>
      <c r="L2728" s="10"/>
      <c r="M2728" s="419"/>
      <c r="N2728" s="420"/>
      <c r="O2728"/>
      <c r="P2728" s="412"/>
      <c r="Q2728" s="391"/>
      <c r="R2728" s="393"/>
    </row>
    <row r="2729" spans="1:18" ht="30" customHeight="1" x14ac:dyDescent="0.25">
      <c r="A2729" s="61"/>
      <c r="B2729" s="1307" t="s">
        <v>1944</v>
      </c>
      <c r="C2729" s="1308"/>
      <c r="D2729" s="1309"/>
      <c r="E2729" s="405"/>
      <c r="F2729" s="343"/>
      <c r="G2729" s="344" t="s">
        <v>535</v>
      </c>
      <c r="H2729" s="344"/>
      <c r="I2729" s="344"/>
      <c r="J2729" s="344"/>
      <c r="K2729" s="340">
        <v>1.02</v>
      </c>
      <c r="L2729" s="10"/>
      <c r="M2729" s="419"/>
      <c r="N2729" s="420"/>
      <c r="O2729"/>
      <c r="P2729" s="412"/>
      <c r="Q2729" s="391"/>
      <c r="R2729" s="393"/>
    </row>
    <row r="2730" spans="1:18" ht="30" customHeight="1" x14ac:dyDescent="0.25">
      <c r="A2730" s="61"/>
      <c r="B2730" s="20"/>
      <c r="C2730" s="18"/>
      <c r="D2730" s="18"/>
      <c r="E2730" s="18"/>
      <c r="F2730" s="18"/>
      <c r="G2730" s="18"/>
      <c r="H2730" s="18"/>
      <c r="I2730" s="18"/>
      <c r="J2730" s="20" t="s">
        <v>358</v>
      </c>
      <c r="K2730" s="23">
        <f>+K2727*K2728/K2729</f>
        <v>119.13080196078432</v>
      </c>
      <c r="L2730" s="20" t="s">
        <v>9</v>
      </c>
      <c r="M2730" s="419"/>
      <c r="N2730" s="420"/>
      <c r="O2730"/>
      <c r="P2730" s="412"/>
      <c r="Q2730" s="391"/>
      <c r="R2730" s="393"/>
    </row>
    <row r="2731" spans="1:18" ht="30" customHeight="1" thickBot="1" x14ac:dyDescent="0.3">
      <c r="A2731" s="61"/>
      <c r="B2731" s="20"/>
      <c r="C2731" s="18"/>
      <c r="D2731" s="18"/>
      <c r="E2731" s="18"/>
      <c r="F2731" s="18"/>
      <c r="G2731" s="13"/>
      <c r="H2731" s="18"/>
      <c r="I2731" s="1245" t="s">
        <v>537</v>
      </c>
      <c r="J2731" s="361">
        <f>VLOOKUP(B2722,'Mil Cost Premiums for RUCs'!$A$4:$R$265,18,FALSE)</f>
        <v>1.2981950150858137</v>
      </c>
      <c r="K2731" s="23">
        <f>+K2730*J2731</f>
        <v>154.65501324866548</v>
      </c>
      <c r="L2731" s="20" t="s">
        <v>9</v>
      </c>
      <c r="M2731" s="419"/>
      <c r="N2731" s="420"/>
      <c r="O2731"/>
      <c r="P2731" s="412"/>
      <c r="Q2731" s="391"/>
      <c r="R2731" s="393"/>
    </row>
    <row r="2732" spans="1:18" s="49" customFormat="1" ht="30" customHeight="1" thickBot="1" x14ac:dyDescent="0.3">
      <c r="A2732" s="76"/>
      <c r="B2732" s="77"/>
      <c r="C2732" s="77"/>
      <c r="D2732" s="77"/>
      <c r="E2732" s="77"/>
      <c r="F2732" s="77"/>
      <c r="G2732" s="77"/>
      <c r="H2732" s="77"/>
      <c r="I2732" s="77"/>
      <c r="J2732" s="77"/>
      <c r="K2732" s="77"/>
      <c r="L2732" s="78"/>
      <c r="M2732" s="425"/>
      <c r="N2732" s="420"/>
      <c r="P2732" s="412"/>
      <c r="Q2732" s="391"/>
      <c r="R2732" s="393"/>
    </row>
    <row r="2733" spans="1:18" ht="30" customHeight="1" x14ac:dyDescent="0.25">
      <c r="A2733" s="30" t="s">
        <v>288</v>
      </c>
      <c r="B2733" s="208">
        <v>5307</v>
      </c>
      <c r="C2733" s="209" t="s">
        <v>1945</v>
      </c>
      <c r="D2733" s="210"/>
      <c r="E2733" s="177" t="s">
        <v>291</v>
      </c>
      <c r="F2733" s="178" t="s">
        <v>9</v>
      </c>
      <c r="G2733" s="123" t="s">
        <v>375</v>
      </c>
      <c r="H2733" s="539">
        <v>1193</v>
      </c>
      <c r="I2733" s="177" t="s">
        <v>292</v>
      </c>
      <c r="J2733" s="38" t="s">
        <v>883</v>
      </c>
      <c r="K2733" s="38"/>
      <c r="L2733" s="389"/>
      <c r="M2733" s="419"/>
      <c r="N2733" s="420"/>
      <c r="O2733"/>
      <c r="P2733" s="412"/>
      <c r="Q2733" s="391"/>
      <c r="R2733" s="393"/>
    </row>
    <row r="2734" spans="1:18" ht="30" customHeight="1" x14ac:dyDescent="0.25">
      <c r="A2734" s="48" t="s">
        <v>529</v>
      </c>
      <c r="B2734" s="394" t="s">
        <v>560</v>
      </c>
      <c r="C2734" s="395"/>
      <c r="D2734" s="396"/>
      <c r="E2734" s="397" t="s">
        <v>519</v>
      </c>
      <c r="F2734" s="397" t="s">
        <v>561</v>
      </c>
      <c r="G2734" s="398" t="s">
        <v>562</v>
      </c>
      <c r="H2734" s="399"/>
      <c r="I2734" s="181" t="s">
        <v>530</v>
      </c>
      <c r="J2734" s="181"/>
      <c r="K2734" s="288" t="s">
        <v>521</v>
      </c>
      <c r="L2734" s="289"/>
      <c r="M2734" s="419"/>
      <c r="N2734" s="420"/>
      <c r="O2734"/>
      <c r="P2734" s="412"/>
      <c r="Q2734" s="391"/>
      <c r="R2734" s="393"/>
    </row>
    <row r="2735" spans="1:18" ht="30" customHeight="1" x14ac:dyDescent="0.25">
      <c r="A2735" s="1299" t="s">
        <v>1903</v>
      </c>
      <c r="B2735" s="503" t="s">
        <v>1946</v>
      </c>
      <c r="C2735" s="504"/>
      <c r="D2735" s="505"/>
      <c r="E2735" s="405">
        <v>72.599999999999994</v>
      </c>
      <c r="F2735" s="20" t="s">
        <v>9</v>
      </c>
      <c r="G2735" s="522"/>
      <c r="H2735" s="20"/>
      <c r="I2735" s="20">
        <v>1.06</v>
      </c>
      <c r="J2735" s="751"/>
      <c r="K2735" s="405">
        <f>+E2735*I2735</f>
        <v>76.956000000000003</v>
      </c>
      <c r="L2735" s="20" t="s">
        <v>9</v>
      </c>
      <c r="M2735" s="434"/>
      <c r="N2735" s="105"/>
      <c r="O2735"/>
      <c r="P2735" s="412"/>
      <c r="Q2735" s="391"/>
      <c r="R2735" s="393"/>
    </row>
    <row r="2736" spans="1:18" ht="30" customHeight="1" x14ac:dyDescent="0.25">
      <c r="A2736" s="1299" t="s">
        <v>644</v>
      </c>
      <c r="B2736" s="402" t="s">
        <v>1553</v>
      </c>
      <c r="C2736" s="403"/>
      <c r="D2736" s="404"/>
      <c r="E2736" s="1092">
        <v>3.8</v>
      </c>
      <c r="F2736" s="20" t="s">
        <v>9</v>
      </c>
      <c r="G2736" s="1098"/>
      <c r="H2736" s="754"/>
      <c r="I2736" s="20">
        <v>1.06</v>
      </c>
      <c r="J2736" s="751"/>
      <c r="K2736" s="405">
        <f>+E2736*I2736</f>
        <v>4.0279999999999996</v>
      </c>
      <c r="L2736" s="20" t="s">
        <v>9</v>
      </c>
      <c r="M2736" s="434"/>
      <c r="N2736" s="105"/>
      <c r="O2736"/>
      <c r="P2736" s="412"/>
      <c r="Q2736" s="391"/>
      <c r="R2736" s="393"/>
    </row>
    <row r="2737" spans="1:18" ht="30" customHeight="1" x14ac:dyDescent="0.25">
      <c r="A2737" s="61"/>
      <c r="B2737" s="191"/>
      <c r="C2737" s="191"/>
      <c r="D2737" s="191"/>
      <c r="E2737" s="405"/>
      <c r="F2737" s="20"/>
      <c r="G2737" s="838"/>
      <c r="H2737" s="754"/>
      <c r="I2737" s="20"/>
      <c r="J2737" s="20" t="s">
        <v>578</v>
      </c>
      <c r="K2737" s="405">
        <f>SUM(K2735:K2736)</f>
        <v>80.984000000000009</v>
      </c>
      <c r="L2737" s="20" t="s">
        <v>9</v>
      </c>
      <c r="M2737" s="1310"/>
      <c r="N2737" s="671"/>
      <c r="O2737" s="43"/>
      <c r="P2737" s="672"/>
      <c r="Q2737" s="671"/>
      <c r="R2737" s="673"/>
    </row>
    <row r="2738" spans="1:18" ht="30" customHeight="1" x14ac:dyDescent="0.25">
      <c r="A2738" s="61"/>
      <c r="B2738" s="1285" t="s">
        <v>1905</v>
      </c>
      <c r="C2738" s="1286"/>
      <c r="D2738" s="1287"/>
      <c r="E2738" s="405"/>
      <c r="F2738" s="338" t="s">
        <v>533</v>
      </c>
      <c r="G2738" s="339" t="s">
        <v>534</v>
      </c>
      <c r="H2738" s="339"/>
      <c r="I2738" s="339"/>
      <c r="J2738" s="339"/>
      <c r="K2738" s="886">
        <v>1.0900000000000001</v>
      </c>
      <c r="L2738" s="10"/>
      <c r="M2738" s="670"/>
      <c r="N2738" s="671"/>
      <c r="O2738" s="43"/>
      <c r="P2738" s="672"/>
      <c r="Q2738" s="671"/>
      <c r="R2738" s="673"/>
    </row>
    <row r="2739" spans="1:18" ht="30" customHeight="1" x14ac:dyDescent="0.25">
      <c r="A2739" s="61"/>
      <c r="B2739" s="410"/>
      <c r="C2739" s="410"/>
      <c r="D2739" s="410"/>
      <c r="E2739" s="405"/>
      <c r="F2739" s="343"/>
      <c r="G2739" s="344" t="s">
        <v>535</v>
      </c>
      <c r="H2739" s="344"/>
      <c r="I2739" s="344"/>
      <c r="J2739" s="344"/>
      <c r="K2739" s="340">
        <v>1.02</v>
      </c>
      <c r="L2739" s="10"/>
      <c r="M2739" s="419"/>
      <c r="N2739" s="420"/>
      <c r="O2739"/>
      <c r="P2739" s="412"/>
      <c r="Q2739" s="391"/>
      <c r="R2739" s="393"/>
    </row>
    <row r="2740" spans="1:18" ht="30" customHeight="1" x14ac:dyDescent="0.25">
      <c r="A2740" s="61"/>
      <c r="B2740" s="20"/>
      <c r="C2740" s="18"/>
      <c r="D2740" s="18"/>
      <c r="E2740" s="18"/>
      <c r="F2740" s="18"/>
      <c r="G2740" s="18"/>
      <c r="H2740" s="18"/>
      <c r="I2740" s="18"/>
      <c r="J2740" s="18" t="s">
        <v>358</v>
      </c>
      <c r="K2740" s="23">
        <f>+K2737*K2738/K2739</f>
        <v>86.541725490196086</v>
      </c>
      <c r="L2740" s="20" t="s">
        <v>9</v>
      </c>
      <c r="M2740" s="419"/>
      <c r="N2740" s="420"/>
      <c r="O2740"/>
      <c r="P2740" s="412"/>
      <c r="Q2740" s="391"/>
      <c r="R2740" s="393"/>
    </row>
    <row r="2741" spans="1:18" ht="30" customHeight="1" thickBot="1" x14ac:dyDescent="0.3">
      <c r="A2741" s="61"/>
      <c r="B2741" s="20"/>
      <c r="C2741" s="18"/>
      <c r="D2741" s="18"/>
      <c r="E2741" s="18"/>
      <c r="F2741" s="18"/>
      <c r="G2741" s="413" t="s">
        <v>537</v>
      </c>
      <c r="H2741" s="18"/>
      <c r="I2741" s="18"/>
      <c r="J2741" s="361">
        <f>VLOOKUP(B2733,'Mil Cost Premiums for RUCs'!$A$4:$R$265,18,FALSE)</f>
        <v>1.1199953840399997</v>
      </c>
      <c r="K2741" s="23">
        <f>+K2740*J2741</f>
        <v>96.926333075876386</v>
      </c>
      <c r="L2741" s="20" t="s">
        <v>9</v>
      </c>
      <c r="M2741" s="1572"/>
      <c r="N2741" s="420"/>
      <c r="O2741"/>
      <c r="P2741" s="412"/>
      <c r="Q2741" s="391"/>
      <c r="R2741" s="393"/>
    </row>
    <row r="2742" spans="1:18" ht="30" customHeight="1" thickBot="1" x14ac:dyDescent="0.3">
      <c r="A2742" s="76"/>
      <c r="B2742" s="77"/>
      <c r="C2742" s="77"/>
      <c r="D2742" s="77"/>
      <c r="E2742" s="77"/>
      <c r="F2742" s="77"/>
      <c r="G2742" s="77"/>
      <c r="H2742" s="77"/>
      <c r="I2742" s="77"/>
      <c r="J2742" s="77"/>
      <c r="K2742" s="77"/>
      <c r="L2742" s="78"/>
      <c r="M2742" s="419"/>
      <c r="N2742" s="420"/>
      <c r="O2742"/>
      <c r="P2742" s="412"/>
      <c r="Q2742" s="391"/>
      <c r="R2742" s="393"/>
    </row>
    <row r="2743" spans="1:18" s="49" customFormat="1" ht="30" customHeight="1" x14ac:dyDescent="0.25">
      <c r="A2743" s="30" t="s">
        <v>288</v>
      </c>
      <c r="B2743" s="208">
        <v>5400</v>
      </c>
      <c r="C2743" s="282" t="s">
        <v>1947</v>
      </c>
      <c r="D2743" s="283"/>
      <c r="E2743" s="177" t="s">
        <v>291</v>
      </c>
      <c r="F2743" s="178" t="s">
        <v>9</v>
      </c>
      <c r="G2743" s="123" t="s">
        <v>375</v>
      </c>
      <c r="H2743" s="761">
        <v>10652</v>
      </c>
      <c r="I2743" s="177" t="s">
        <v>292</v>
      </c>
      <c r="J2743" s="38" t="s">
        <v>516</v>
      </c>
      <c r="K2743" s="39"/>
      <c r="L2743" s="40"/>
      <c r="M2743" s="1368"/>
      <c r="N2743" s="1310"/>
      <c r="P2743" s="412"/>
      <c r="Q2743" s="391"/>
      <c r="R2743" s="393"/>
    </row>
    <row r="2744" spans="1:18" ht="30" customHeight="1" x14ac:dyDescent="0.25">
      <c r="A2744" s="44" t="s">
        <v>517</v>
      </c>
      <c r="B2744" s="180" t="s">
        <v>295</v>
      </c>
      <c r="C2744" s="180"/>
      <c r="D2744" s="180"/>
      <c r="E2744" s="182" t="s">
        <v>518</v>
      </c>
      <c r="F2744" s="285" t="s">
        <v>519</v>
      </c>
      <c r="G2744" s="181"/>
      <c r="H2744" s="181"/>
      <c r="I2744" s="286" t="s">
        <v>520</v>
      </c>
      <c r="J2744" s="287"/>
      <c r="K2744" s="288" t="s">
        <v>521</v>
      </c>
      <c r="L2744" s="289"/>
      <c r="M2744" s="419"/>
      <c r="N2744" s="420"/>
      <c r="O2744"/>
      <c r="P2744" s="412"/>
      <c r="Q2744" s="391"/>
      <c r="R2744" s="393"/>
    </row>
    <row r="2745" spans="1:18" ht="30" customHeight="1" x14ac:dyDescent="0.25">
      <c r="A2745" s="65" t="s">
        <v>522</v>
      </c>
      <c r="B2745" s="214" t="s">
        <v>1948</v>
      </c>
      <c r="C2745" s="214"/>
      <c r="D2745" s="214"/>
      <c r="E2745" s="291">
        <v>17000</v>
      </c>
      <c r="F2745" s="292">
        <v>552</v>
      </c>
      <c r="G2745" s="293"/>
      <c r="H2745" s="294"/>
      <c r="I2745" s="295" t="s">
        <v>524</v>
      </c>
      <c r="J2745" s="296"/>
      <c r="K2745" s="292">
        <f>+F2745</f>
        <v>552</v>
      </c>
      <c r="L2745" s="290" t="s">
        <v>9</v>
      </c>
      <c r="M2745" s="1368"/>
      <c r="N2745" s="1310"/>
      <c r="O2745"/>
      <c r="P2745" s="412"/>
      <c r="Q2745" s="391"/>
      <c r="R2745" s="393"/>
    </row>
    <row r="2746" spans="1:18" ht="30" customHeight="1" thickBot="1" x14ac:dyDescent="0.3">
      <c r="A2746" s="61"/>
      <c r="B2746" s="191"/>
      <c r="C2746" s="191"/>
      <c r="D2746" s="191"/>
      <c r="E2746" s="297"/>
      <c r="F2746" s="298"/>
      <c r="G2746" s="298"/>
      <c r="H2746" s="299"/>
      <c r="I2746" s="18"/>
      <c r="J2746" s="185" t="s">
        <v>358</v>
      </c>
      <c r="K2746" s="301">
        <f>+K2745</f>
        <v>552</v>
      </c>
      <c r="L2746" s="20" t="s">
        <v>9</v>
      </c>
      <c r="O2746"/>
      <c r="P2746" s="412"/>
      <c r="Q2746" s="391"/>
      <c r="R2746" s="393"/>
    </row>
    <row r="2747" spans="1:18" ht="30" customHeight="1" thickBot="1" x14ac:dyDescent="0.3">
      <c r="A2747" s="76"/>
      <c r="B2747" s="77"/>
      <c r="C2747" s="77"/>
      <c r="D2747" s="77"/>
      <c r="E2747" s="77"/>
      <c r="F2747" s="77"/>
      <c r="G2747" s="77"/>
      <c r="H2747" s="77"/>
      <c r="I2747" s="77"/>
      <c r="J2747" s="77"/>
      <c r="K2747" s="77"/>
      <c r="L2747" s="78"/>
      <c r="M2747" s="419"/>
      <c r="N2747" s="420"/>
      <c r="O2747"/>
      <c r="P2747" s="412"/>
      <c r="Q2747" s="391"/>
      <c r="R2747" s="393"/>
    </row>
    <row r="2748" spans="1:18" ht="30" customHeight="1" x14ac:dyDescent="0.25">
      <c r="A2748" s="30" t="s">
        <v>288</v>
      </c>
      <c r="B2748" s="208">
        <v>5500</v>
      </c>
      <c r="C2748" s="282" t="s">
        <v>1949</v>
      </c>
      <c r="D2748" s="283"/>
      <c r="E2748" s="177" t="s">
        <v>291</v>
      </c>
      <c r="F2748" s="178" t="s">
        <v>9</v>
      </c>
      <c r="G2748" s="123" t="s">
        <v>375</v>
      </c>
      <c r="H2748" s="761">
        <v>13248</v>
      </c>
      <c r="I2748" s="177" t="s">
        <v>292</v>
      </c>
      <c r="J2748" s="1311" t="s">
        <v>1950</v>
      </c>
      <c r="K2748" s="1312"/>
      <c r="L2748" s="1313"/>
      <c r="M2748" s="670"/>
      <c r="N2748" s="671"/>
      <c r="O2748" s="43"/>
      <c r="P2748" s="672"/>
      <c r="Q2748" s="671"/>
      <c r="R2748" s="673"/>
    </row>
    <row r="2749" spans="1:18" ht="30" customHeight="1" x14ac:dyDescent="0.25">
      <c r="A2749" s="44" t="s">
        <v>517</v>
      </c>
      <c r="B2749" s="180" t="s">
        <v>295</v>
      </c>
      <c r="C2749" s="180"/>
      <c r="D2749" s="180"/>
      <c r="E2749" s="182" t="s">
        <v>518</v>
      </c>
      <c r="F2749" s="285" t="s">
        <v>519</v>
      </c>
      <c r="G2749" s="181"/>
      <c r="H2749" s="181"/>
      <c r="I2749" s="286" t="s">
        <v>520</v>
      </c>
      <c r="J2749" s="287"/>
      <c r="K2749" s="288" t="s">
        <v>521</v>
      </c>
      <c r="L2749" s="289"/>
      <c r="M2749" s="670"/>
      <c r="N2749" s="671"/>
      <c r="O2749" s="43"/>
      <c r="P2749" s="672"/>
      <c r="Q2749" s="671"/>
      <c r="R2749" s="673"/>
    </row>
    <row r="2750" spans="1:18" ht="30" customHeight="1" x14ac:dyDescent="0.25">
      <c r="A2750" s="65" t="s">
        <v>522</v>
      </c>
      <c r="B2750" s="214" t="s">
        <v>1951</v>
      </c>
      <c r="C2750" s="214"/>
      <c r="D2750" s="214"/>
      <c r="E2750" s="291">
        <v>34000</v>
      </c>
      <c r="F2750" s="292">
        <v>284</v>
      </c>
      <c r="G2750" s="293"/>
      <c r="H2750" s="294"/>
      <c r="I2750" s="295">
        <f>'MILCON Inflation Table'!F13</f>
        <v>1.0397823869432166</v>
      </c>
      <c r="J2750" s="296"/>
      <c r="K2750" s="292">
        <f>+F2750</f>
        <v>284</v>
      </c>
      <c r="L2750" s="290" t="s">
        <v>9</v>
      </c>
      <c r="M2750" s="419"/>
      <c r="N2750" s="420"/>
      <c r="O2750"/>
      <c r="P2750" s="412"/>
      <c r="Q2750" s="391"/>
      <c r="R2750" s="393"/>
    </row>
    <row r="2751" spans="1:18" ht="30" customHeight="1" thickBot="1" x14ac:dyDescent="0.3">
      <c r="A2751" s="61"/>
      <c r="B2751" s="192"/>
      <c r="C2751" s="192"/>
      <c r="D2751" s="192"/>
      <c r="E2751" s="1290"/>
      <c r="F2751" s="1291"/>
      <c r="G2751" s="1291"/>
      <c r="H2751" s="1292"/>
      <c r="I2751" s="63"/>
      <c r="J2751" s="48" t="s">
        <v>358</v>
      </c>
      <c r="K2751" s="1293">
        <f>+K2750</f>
        <v>284</v>
      </c>
      <c r="L2751" s="61" t="s">
        <v>9</v>
      </c>
      <c r="M2751" s="419"/>
      <c r="N2751" s="420"/>
      <c r="O2751"/>
      <c r="P2751" s="412"/>
      <c r="Q2751" s="391"/>
      <c r="R2751" s="393"/>
    </row>
    <row r="2752" spans="1:18" ht="30" customHeight="1" thickBot="1" x14ac:dyDescent="0.3">
      <c r="A2752" s="76"/>
      <c r="B2752" s="77"/>
      <c r="C2752" s="77"/>
      <c r="D2752" s="77"/>
      <c r="E2752" s="77"/>
      <c r="F2752" s="77"/>
      <c r="G2752" s="77"/>
      <c r="H2752" s="77"/>
      <c r="I2752" s="77"/>
      <c r="J2752" s="77"/>
      <c r="K2752" s="77"/>
      <c r="L2752" s="78"/>
      <c r="M2752" s="419"/>
      <c r="N2752" s="420"/>
      <c r="O2752"/>
      <c r="P2752" s="412"/>
      <c r="Q2752" s="391"/>
      <c r="R2752" s="393"/>
    </row>
    <row r="2753" spans="1:21" ht="30" customHeight="1" x14ac:dyDescent="0.25">
      <c r="A2753" s="30" t="s">
        <v>288</v>
      </c>
      <c r="B2753" s="208">
        <v>5501</v>
      </c>
      <c r="C2753" s="282" t="s">
        <v>1952</v>
      </c>
      <c r="D2753" s="283"/>
      <c r="E2753" s="177" t="s">
        <v>291</v>
      </c>
      <c r="F2753" s="178" t="s">
        <v>9</v>
      </c>
      <c r="G2753" s="123" t="s">
        <v>375</v>
      </c>
      <c r="H2753" s="761">
        <v>92286</v>
      </c>
      <c r="I2753" s="177" t="s">
        <v>292</v>
      </c>
      <c r="J2753" s="38" t="s">
        <v>516</v>
      </c>
      <c r="K2753" s="39"/>
      <c r="L2753" s="40"/>
      <c r="M2753" s="419"/>
      <c r="N2753" s="420"/>
      <c r="O2753"/>
      <c r="P2753" s="412"/>
      <c r="Q2753" s="391"/>
      <c r="R2753" s="393"/>
    </row>
    <row r="2754" spans="1:21" s="49" customFormat="1" ht="30" customHeight="1" x14ac:dyDescent="0.25">
      <c r="A2754" s="44" t="s">
        <v>517</v>
      </c>
      <c r="B2754" s="180" t="s">
        <v>295</v>
      </c>
      <c r="C2754" s="180"/>
      <c r="D2754" s="180"/>
      <c r="E2754" s="182" t="s">
        <v>518</v>
      </c>
      <c r="F2754" s="285" t="s">
        <v>519</v>
      </c>
      <c r="G2754" s="181"/>
      <c r="H2754" s="181"/>
      <c r="I2754" s="286" t="s">
        <v>520</v>
      </c>
      <c r="J2754" s="287"/>
      <c r="K2754" s="288" t="s">
        <v>521</v>
      </c>
      <c r="L2754" s="289"/>
      <c r="M2754" s="425"/>
      <c r="N2754" s="420"/>
      <c r="P2754" s="412"/>
      <c r="Q2754" s="391"/>
      <c r="R2754" s="393"/>
    </row>
    <row r="2755" spans="1:21" ht="30" customHeight="1" x14ac:dyDescent="0.25">
      <c r="A2755" s="65" t="s">
        <v>522</v>
      </c>
      <c r="B2755" s="214" t="s">
        <v>1953</v>
      </c>
      <c r="C2755" s="214"/>
      <c r="D2755" s="214"/>
      <c r="E2755" s="291">
        <v>110000</v>
      </c>
      <c r="F2755" s="292">
        <v>336</v>
      </c>
      <c r="G2755" s="293"/>
      <c r="H2755" s="294"/>
      <c r="I2755" s="295" t="s">
        <v>524</v>
      </c>
      <c r="J2755" s="296"/>
      <c r="K2755" s="292">
        <f>+F2755</f>
        <v>336</v>
      </c>
      <c r="L2755" s="290" t="s">
        <v>9</v>
      </c>
      <c r="O2755"/>
      <c r="P2755" s="412"/>
      <c r="Q2755" s="391"/>
      <c r="R2755" s="393"/>
    </row>
    <row r="2756" spans="1:21" ht="30" customHeight="1" thickBot="1" x14ac:dyDescent="0.3">
      <c r="A2756" s="61"/>
      <c r="B2756" s="191"/>
      <c r="C2756" s="191"/>
      <c r="D2756" s="191"/>
      <c r="E2756" s="297"/>
      <c r="F2756" s="298"/>
      <c r="G2756" s="298"/>
      <c r="H2756" s="299"/>
      <c r="I2756" s="18"/>
      <c r="J2756" s="185" t="s">
        <v>358</v>
      </c>
      <c r="K2756" s="301">
        <f>+K2755</f>
        <v>336</v>
      </c>
      <c r="L2756" s="20" t="s">
        <v>9</v>
      </c>
      <c r="O2756"/>
      <c r="P2756" s="412"/>
      <c r="Q2756" s="391"/>
      <c r="R2756" s="393"/>
    </row>
    <row r="2757" spans="1:21" ht="30" customHeight="1" thickBot="1" x14ac:dyDescent="0.3">
      <c r="A2757" s="76"/>
      <c r="B2757" s="77"/>
      <c r="C2757" s="77"/>
      <c r="D2757" s="77"/>
      <c r="E2757" s="77"/>
      <c r="F2757" s="77"/>
      <c r="G2757" s="77"/>
      <c r="H2757" s="77"/>
      <c r="I2757" s="77"/>
      <c r="J2757" s="77"/>
      <c r="K2757" s="77"/>
      <c r="L2757" s="78"/>
      <c r="M2757" s="419"/>
      <c r="N2757" s="420"/>
      <c r="O2757"/>
      <c r="P2757" s="412"/>
      <c r="Q2757" s="391"/>
      <c r="R2757" s="393"/>
    </row>
    <row r="2758" spans="1:21" ht="30" customHeight="1" x14ac:dyDescent="0.25">
      <c r="A2758" s="30" t="s">
        <v>288</v>
      </c>
      <c r="B2758" s="208">
        <v>6100</v>
      </c>
      <c r="C2758" s="282" t="s">
        <v>1954</v>
      </c>
      <c r="D2758" s="283"/>
      <c r="E2758" s="177" t="s">
        <v>291</v>
      </c>
      <c r="F2758" s="178" t="s">
        <v>9</v>
      </c>
      <c r="G2758" s="123" t="s">
        <v>375</v>
      </c>
      <c r="H2758" s="761">
        <v>8446</v>
      </c>
      <c r="I2758" s="177" t="s">
        <v>292</v>
      </c>
      <c r="J2758" s="38" t="s">
        <v>516</v>
      </c>
      <c r="K2758" s="39"/>
      <c r="L2758" s="40"/>
      <c r="M2758" s="1310"/>
      <c r="N2758" s="671"/>
      <c r="O2758" s="43"/>
      <c r="P2758" s="672"/>
      <c r="Q2758" s="671"/>
      <c r="R2758" s="673"/>
    </row>
    <row r="2759" spans="1:21" ht="30" customHeight="1" x14ac:dyDescent="0.25">
      <c r="A2759" s="44" t="s">
        <v>517</v>
      </c>
      <c r="B2759" s="180" t="s">
        <v>295</v>
      </c>
      <c r="C2759" s="180"/>
      <c r="D2759" s="180"/>
      <c r="E2759" s="182" t="s">
        <v>518</v>
      </c>
      <c r="F2759" s="285" t="s">
        <v>519</v>
      </c>
      <c r="G2759" s="181"/>
      <c r="H2759" s="181"/>
      <c r="I2759" s="286" t="s">
        <v>520</v>
      </c>
      <c r="J2759" s="287"/>
      <c r="K2759" s="288" t="s">
        <v>521</v>
      </c>
      <c r="L2759" s="289"/>
      <c r="M2759" s="670"/>
      <c r="N2759" s="671"/>
      <c r="O2759" s="43"/>
      <c r="P2759" s="672"/>
      <c r="Q2759" s="671"/>
      <c r="R2759" s="673"/>
    </row>
    <row r="2760" spans="1:21" ht="30" customHeight="1" x14ac:dyDescent="0.25">
      <c r="A2760" s="65" t="s">
        <v>522</v>
      </c>
      <c r="B2760" s="214" t="s">
        <v>1955</v>
      </c>
      <c r="C2760" s="214"/>
      <c r="D2760" s="214"/>
      <c r="E2760" s="291">
        <v>70000</v>
      </c>
      <c r="F2760" s="292">
        <v>272</v>
      </c>
      <c r="G2760" s="293"/>
      <c r="H2760" s="294"/>
      <c r="I2760" s="295" t="s">
        <v>524</v>
      </c>
      <c r="J2760" s="296"/>
      <c r="K2760" s="292">
        <f>+F2760</f>
        <v>272</v>
      </c>
      <c r="L2760" s="290" t="s">
        <v>9</v>
      </c>
      <c r="M2760" s="419"/>
      <c r="N2760" s="420"/>
      <c r="O2760"/>
      <c r="P2760" s="412"/>
      <c r="Q2760" s="391"/>
      <c r="R2760" s="393"/>
    </row>
    <row r="2761" spans="1:21" ht="30" customHeight="1" thickBot="1" x14ac:dyDescent="0.3">
      <c r="A2761" s="61"/>
      <c r="B2761" s="191"/>
      <c r="C2761" s="191"/>
      <c r="D2761" s="191"/>
      <c r="E2761" s="297"/>
      <c r="F2761" s="298"/>
      <c r="G2761" s="298"/>
      <c r="H2761" s="299"/>
      <c r="I2761" s="18"/>
      <c r="J2761" s="185" t="s">
        <v>358</v>
      </c>
      <c r="K2761" s="301">
        <f>+K2760</f>
        <v>272</v>
      </c>
      <c r="L2761" s="20" t="s">
        <v>9</v>
      </c>
      <c r="M2761" s="419"/>
      <c r="N2761" s="420"/>
      <c r="P2761" s="43"/>
      <c r="Q2761" s="43"/>
      <c r="R2761" s="43"/>
      <c r="S2761" s="60"/>
      <c r="T2761" s="60"/>
      <c r="U2761" s="43"/>
    </row>
    <row r="2762" spans="1:21" ht="30" customHeight="1" thickBot="1" x14ac:dyDescent="0.3">
      <c r="A2762" s="76"/>
      <c r="B2762" s="77"/>
      <c r="C2762" s="77"/>
      <c r="D2762" s="77"/>
      <c r="E2762" s="77"/>
      <c r="F2762" s="77"/>
      <c r="G2762" s="77"/>
      <c r="H2762" s="77"/>
      <c r="I2762" s="77"/>
      <c r="J2762" s="77"/>
      <c r="K2762" s="77"/>
      <c r="L2762" s="78"/>
      <c r="M2762" s="419"/>
      <c r="N2762" s="420"/>
      <c r="P2762" s="43"/>
      <c r="Q2762" s="43"/>
      <c r="R2762" s="43"/>
      <c r="S2762" s="60"/>
      <c r="T2762" s="60"/>
      <c r="U2762" s="43"/>
    </row>
    <row r="2763" spans="1:21" s="41" customFormat="1" ht="30" customHeight="1" x14ac:dyDescent="0.25">
      <c r="A2763" s="30" t="s">
        <v>288</v>
      </c>
      <c r="B2763" s="208">
        <v>6101</v>
      </c>
      <c r="C2763" s="282" t="s">
        <v>1956</v>
      </c>
      <c r="D2763" s="283"/>
      <c r="E2763" s="177" t="s">
        <v>291</v>
      </c>
      <c r="F2763" s="178" t="s">
        <v>9</v>
      </c>
      <c r="G2763" s="123" t="s">
        <v>375</v>
      </c>
      <c r="H2763" s="302">
        <v>12721</v>
      </c>
      <c r="I2763" s="177" t="s">
        <v>292</v>
      </c>
      <c r="J2763" s="38" t="s">
        <v>516</v>
      </c>
      <c r="K2763" s="39"/>
      <c r="L2763" s="40"/>
      <c r="M2763" s="341"/>
      <c r="N2763" s="341"/>
      <c r="O2763" s="42"/>
    </row>
    <row r="2764" spans="1:21" s="49" customFormat="1" ht="30" customHeight="1" x14ac:dyDescent="0.25">
      <c r="A2764" s="44" t="s">
        <v>517</v>
      </c>
      <c r="B2764" s="180" t="s">
        <v>295</v>
      </c>
      <c r="C2764" s="180"/>
      <c r="D2764" s="180"/>
      <c r="E2764" s="182" t="s">
        <v>518</v>
      </c>
      <c r="F2764" s="285" t="s">
        <v>519</v>
      </c>
      <c r="G2764" s="181"/>
      <c r="H2764" s="181"/>
      <c r="I2764" s="286" t="s">
        <v>520</v>
      </c>
      <c r="J2764" s="287"/>
      <c r="K2764" s="288" t="s">
        <v>521</v>
      </c>
      <c r="L2764" s="289"/>
      <c r="M2764" s="502"/>
      <c r="N2764" s="502"/>
      <c r="O2764" s="27"/>
    </row>
    <row r="2765" spans="1:21" ht="30" customHeight="1" x14ac:dyDescent="0.25">
      <c r="A2765" s="65" t="s">
        <v>522</v>
      </c>
      <c r="B2765" s="214" t="s">
        <v>1957</v>
      </c>
      <c r="C2765" s="214"/>
      <c r="D2765" s="214"/>
      <c r="E2765" s="291">
        <v>33000</v>
      </c>
      <c r="F2765" s="292">
        <v>278</v>
      </c>
      <c r="G2765" s="293"/>
      <c r="H2765" s="294"/>
      <c r="I2765" s="295" t="s">
        <v>1958</v>
      </c>
      <c r="J2765" s="296"/>
      <c r="K2765" s="292">
        <f>+F2765</f>
        <v>278</v>
      </c>
      <c r="L2765" s="290" t="s">
        <v>9</v>
      </c>
      <c r="M2765" s="341"/>
      <c r="N2765" s="342"/>
      <c r="P2765" s="43"/>
      <c r="Q2765" s="43"/>
      <c r="R2765" s="43"/>
      <c r="S2765" s="60"/>
      <c r="T2765" s="60"/>
    </row>
    <row r="2766" spans="1:21" ht="30" customHeight="1" thickBot="1" x14ac:dyDescent="0.3">
      <c r="A2766" s="61"/>
      <c r="B2766" s="191"/>
      <c r="C2766" s="191"/>
      <c r="D2766" s="191"/>
      <c r="E2766" s="297"/>
      <c r="F2766" s="298"/>
      <c r="G2766" s="298"/>
      <c r="H2766" s="299"/>
      <c r="I2766" s="18"/>
      <c r="J2766" s="185" t="s">
        <v>358</v>
      </c>
      <c r="K2766" s="301">
        <f>+K2765</f>
        <v>278</v>
      </c>
      <c r="L2766" s="20" t="s">
        <v>9</v>
      </c>
      <c r="M2766" s="1911"/>
      <c r="N2766" s="50"/>
      <c r="P2766" s="43"/>
      <c r="Q2766" s="43"/>
      <c r="R2766" s="43"/>
      <c r="S2766" s="60"/>
      <c r="T2766" s="60"/>
      <c r="U2766" s="43"/>
    </row>
    <row r="2767" spans="1:21" ht="30" customHeight="1" thickBot="1" x14ac:dyDescent="0.3">
      <c r="A2767" s="76"/>
      <c r="B2767" s="77"/>
      <c r="C2767" s="77"/>
      <c r="D2767" s="77"/>
      <c r="E2767" s="77"/>
      <c r="F2767" s="77"/>
      <c r="G2767" s="77"/>
      <c r="H2767" s="77"/>
      <c r="I2767" s="77"/>
      <c r="J2767" s="77"/>
      <c r="K2767" s="77"/>
      <c r="L2767" s="78"/>
      <c r="M2767" s="43"/>
      <c r="P2767" s="43"/>
      <c r="Q2767" s="43"/>
      <c r="R2767" s="43"/>
      <c r="S2767" s="60"/>
      <c r="T2767" s="60"/>
      <c r="U2767" s="43"/>
    </row>
    <row r="2768" spans="1:21" s="41" customFormat="1" ht="30" customHeight="1" x14ac:dyDescent="0.25">
      <c r="A2768" s="30" t="s">
        <v>288</v>
      </c>
      <c r="B2768" s="208">
        <v>6102</v>
      </c>
      <c r="C2768" s="282" t="s">
        <v>1959</v>
      </c>
      <c r="D2768" s="283"/>
      <c r="E2768" s="177" t="s">
        <v>291</v>
      </c>
      <c r="F2768" s="178" t="s">
        <v>9</v>
      </c>
      <c r="G2768" s="123" t="s">
        <v>375</v>
      </c>
      <c r="H2768" s="302">
        <v>12897</v>
      </c>
      <c r="I2768" s="177" t="s">
        <v>292</v>
      </c>
      <c r="J2768" s="38" t="s">
        <v>516</v>
      </c>
      <c r="K2768" s="39"/>
      <c r="L2768" s="40"/>
      <c r="M2768" s="341"/>
      <c r="N2768" s="341"/>
      <c r="O2768" s="42"/>
    </row>
    <row r="2769" spans="1:21" s="49" customFormat="1" ht="30" customHeight="1" x14ac:dyDescent="0.25">
      <c r="A2769" s="44" t="s">
        <v>517</v>
      </c>
      <c r="B2769" s="180" t="s">
        <v>295</v>
      </c>
      <c r="C2769" s="180"/>
      <c r="D2769" s="180"/>
      <c r="E2769" s="182" t="s">
        <v>518</v>
      </c>
      <c r="F2769" s="285" t="s">
        <v>519</v>
      </c>
      <c r="G2769" s="181"/>
      <c r="H2769" s="181"/>
      <c r="I2769" s="286" t="s">
        <v>520</v>
      </c>
      <c r="J2769" s="287"/>
      <c r="K2769" s="288" t="s">
        <v>521</v>
      </c>
      <c r="L2769" s="289"/>
      <c r="M2769" s="1932"/>
      <c r="N2769" s="213"/>
      <c r="O2769" s="27"/>
    </row>
    <row r="2770" spans="1:21" ht="30" customHeight="1" x14ac:dyDescent="0.25">
      <c r="A2770" s="65" t="s">
        <v>522</v>
      </c>
      <c r="B2770" s="214" t="s">
        <v>1960</v>
      </c>
      <c r="C2770" s="214"/>
      <c r="D2770" s="214"/>
      <c r="E2770" s="291">
        <v>110000</v>
      </c>
      <c r="F2770" s="292">
        <v>369</v>
      </c>
      <c r="G2770" s="293"/>
      <c r="H2770" s="294"/>
      <c r="I2770" s="295" t="s">
        <v>524</v>
      </c>
      <c r="J2770" s="296"/>
      <c r="K2770" s="292">
        <f>+F2770</f>
        <v>369</v>
      </c>
      <c r="L2770" s="290" t="s">
        <v>9</v>
      </c>
      <c r="M2770" s="341"/>
      <c r="N2770" s="342"/>
    </row>
    <row r="2771" spans="1:21" ht="30" customHeight="1" thickBot="1" x14ac:dyDescent="0.3">
      <c r="A2771" s="61"/>
      <c r="B2771" s="191"/>
      <c r="C2771" s="191"/>
      <c r="D2771" s="191"/>
      <c r="E2771" s="297"/>
      <c r="F2771" s="298"/>
      <c r="G2771" s="298"/>
      <c r="H2771" s="299"/>
      <c r="I2771" s="18"/>
      <c r="J2771" s="185" t="s">
        <v>358</v>
      </c>
      <c r="K2771" s="301">
        <f>+K2770</f>
        <v>369</v>
      </c>
      <c r="L2771" s="20" t="s">
        <v>9</v>
      </c>
      <c r="M2771" s="1911"/>
      <c r="N2771" s="50"/>
      <c r="P2771" s="43"/>
      <c r="Q2771" s="43"/>
      <c r="R2771" s="43"/>
      <c r="S2771" s="60"/>
      <c r="T2771" s="60"/>
      <c r="U2771" s="43"/>
    </row>
    <row r="2772" spans="1:21" ht="30" customHeight="1" thickBot="1" x14ac:dyDescent="0.3">
      <c r="A2772" s="76"/>
      <c r="B2772" s="77"/>
      <c r="C2772" s="77"/>
      <c r="D2772" s="77"/>
      <c r="E2772" s="77"/>
      <c r="F2772" s="77"/>
      <c r="G2772" s="77"/>
      <c r="H2772" s="77"/>
      <c r="I2772" s="77"/>
      <c r="J2772" s="77"/>
      <c r="K2772" s="77"/>
      <c r="L2772" s="78"/>
      <c r="M2772" s="43"/>
      <c r="P2772" s="43"/>
      <c r="Q2772" s="43"/>
      <c r="R2772" s="43"/>
      <c r="S2772" s="60"/>
      <c r="T2772" s="60"/>
      <c r="U2772" s="43"/>
    </row>
    <row r="2773" spans="1:21" s="41" customFormat="1" ht="30" customHeight="1" x14ac:dyDescent="0.25">
      <c r="A2773" s="30" t="s">
        <v>288</v>
      </c>
      <c r="B2773" s="208">
        <v>6103</v>
      </c>
      <c r="C2773" s="209" t="s">
        <v>1961</v>
      </c>
      <c r="D2773" s="210"/>
      <c r="E2773" s="177" t="s">
        <v>291</v>
      </c>
      <c r="F2773" s="388" t="s">
        <v>9</v>
      </c>
      <c r="G2773" s="123" t="s">
        <v>375</v>
      </c>
      <c r="H2773" s="1051">
        <v>8199</v>
      </c>
      <c r="I2773" s="177" t="s">
        <v>292</v>
      </c>
      <c r="J2773" s="38" t="s">
        <v>883</v>
      </c>
      <c r="K2773" s="38"/>
      <c r="L2773" s="389"/>
      <c r="M2773" s="25"/>
      <c r="N2773" s="25"/>
      <c r="O2773" s="42"/>
    </row>
    <row r="2774" spans="1:21" s="49" customFormat="1" ht="30" customHeight="1" x14ac:dyDescent="0.25">
      <c r="A2774" s="48" t="s">
        <v>529</v>
      </c>
      <c r="B2774" s="394" t="s">
        <v>560</v>
      </c>
      <c r="C2774" s="395"/>
      <c r="D2774" s="396"/>
      <c r="E2774" s="397" t="s">
        <v>519</v>
      </c>
      <c r="F2774" s="397" t="s">
        <v>561</v>
      </c>
      <c r="G2774" s="398" t="s">
        <v>562</v>
      </c>
      <c r="H2774" s="399"/>
      <c r="I2774" s="181" t="s">
        <v>530</v>
      </c>
      <c r="J2774" s="181"/>
      <c r="K2774" s="288" t="s">
        <v>521</v>
      </c>
      <c r="L2774" s="289"/>
      <c r="M2774" s="502"/>
      <c r="N2774" s="502"/>
      <c r="O2774" s="27"/>
    </row>
    <row r="2775" spans="1:21" ht="30" customHeight="1" x14ac:dyDescent="0.25">
      <c r="A2775" s="1299" t="s">
        <v>1309</v>
      </c>
      <c r="B2775" s="503" t="s">
        <v>1962</v>
      </c>
      <c r="C2775" s="504"/>
      <c r="D2775" s="505"/>
      <c r="E2775" s="405">
        <v>73.95</v>
      </c>
      <c r="F2775" s="20" t="s">
        <v>9</v>
      </c>
      <c r="G2775" s="522"/>
      <c r="H2775" s="20"/>
      <c r="I2775" s="20">
        <v>1.06</v>
      </c>
      <c r="J2775" s="751"/>
      <c r="K2775" s="405">
        <f>+E2775*I2775</f>
        <v>78.387</v>
      </c>
      <c r="L2775" s="20" t="s">
        <v>9</v>
      </c>
      <c r="M2775" s="341"/>
      <c r="N2775" s="342"/>
    </row>
    <row r="2776" spans="1:21" ht="30" customHeight="1" x14ac:dyDescent="0.25">
      <c r="A2776" s="1299" t="s">
        <v>644</v>
      </c>
      <c r="B2776" s="191" t="s">
        <v>1716</v>
      </c>
      <c r="C2776" s="191"/>
      <c r="D2776" s="191"/>
      <c r="E2776" s="23">
        <v>3.06</v>
      </c>
      <c r="F2776" s="20" t="s">
        <v>9</v>
      </c>
      <c r="G2776" s="598"/>
      <c r="H2776" s="754"/>
      <c r="I2776" s="20">
        <v>1.06</v>
      </c>
      <c r="J2776" s="751"/>
      <c r="K2776" s="405">
        <f>+E2776*I2776</f>
        <v>3.2436000000000003</v>
      </c>
      <c r="L2776" s="20" t="s">
        <v>9</v>
      </c>
      <c r="P2776" s="43"/>
      <c r="Q2776" s="43"/>
      <c r="R2776" s="43"/>
      <c r="S2776" s="60"/>
      <c r="T2776" s="60"/>
      <c r="U2776" s="43"/>
    </row>
    <row r="2777" spans="1:21" ht="30" customHeight="1" x14ac:dyDescent="0.25">
      <c r="A2777" s="61"/>
      <c r="B2777" s="191"/>
      <c r="C2777" s="191"/>
      <c r="D2777" s="191"/>
      <c r="E2777" s="405"/>
      <c r="F2777" s="20"/>
      <c r="G2777" s="838"/>
      <c r="H2777" s="754"/>
      <c r="I2777" s="20"/>
      <c r="J2777" s="20" t="s">
        <v>578</v>
      </c>
      <c r="K2777" s="405">
        <f>SUM(K2775:K2776)</f>
        <v>81.630600000000001</v>
      </c>
      <c r="L2777" s="20" t="s">
        <v>9</v>
      </c>
      <c r="M2777" s="43"/>
      <c r="P2777" s="43"/>
      <c r="Q2777" s="43"/>
      <c r="R2777" s="43"/>
      <c r="S2777" s="60"/>
      <c r="T2777" s="60"/>
      <c r="U2777" s="43"/>
    </row>
    <row r="2778" spans="1:21" s="41" customFormat="1" ht="30" customHeight="1" x14ac:dyDescent="0.25">
      <c r="A2778" s="61"/>
      <c r="B2778" s="410"/>
      <c r="C2778" s="410"/>
      <c r="D2778" s="410"/>
      <c r="E2778" s="405"/>
      <c r="F2778" s="338" t="s">
        <v>533</v>
      </c>
      <c r="G2778" s="339" t="s">
        <v>534</v>
      </c>
      <c r="H2778" s="339"/>
      <c r="I2778" s="339"/>
      <c r="J2778" s="339"/>
      <c r="K2778" s="751">
        <v>1.0900000000000001</v>
      </c>
      <c r="L2778" s="10"/>
      <c r="M2778" s="25"/>
      <c r="N2778" s="25"/>
      <c r="O2778" s="42"/>
    </row>
    <row r="2779" spans="1:21" s="49" customFormat="1" ht="30" customHeight="1" x14ac:dyDescent="0.25">
      <c r="A2779" s="61"/>
      <c r="B2779" s="410"/>
      <c r="C2779" s="410"/>
      <c r="D2779" s="410"/>
      <c r="E2779" s="405"/>
      <c r="F2779" s="343"/>
      <c r="G2779" s="344" t="s">
        <v>535</v>
      </c>
      <c r="H2779" s="344"/>
      <c r="I2779" s="344"/>
      <c r="J2779" s="344"/>
      <c r="K2779" s="340">
        <v>1.02</v>
      </c>
      <c r="L2779" s="10"/>
      <c r="M2779" s="502"/>
      <c r="N2779" s="502"/>
      <c r="O2779" s="27"/>
    </row>
    <row r="2780" spans="1:21" ht="30" customHeight="1" x14ac:dyDescent="0.25">
      <c r="A2780" s="61"/>
      <c r="B2780" s="20"/>
      <c r="C2780" s="18"/>
      <c r="D2780" s="18"/>
      <c r="E2780" s="18"/>
      <c r="F2780" s="18"/>
      <c r="G2780" s="18"/>
      <c r="H2780" s="18"/>
      <c r="I2780" s="18"/>
      <c r="J2780" s="20" t="s">
        <v>358</v>
      </c>
      <c r="K2780" s="23">
        <f>+K2777*K2778/K2779</f>
        <v>87.232700000000008</v>
      </c>
      <c r="L2780" s="20" t="s">
        <v>9</v>
      </c>
      <c r="M2780" s="341"/>
      <c r="N2780" s="342"/>
    </row>
    <row r="2781" spans="1:21" ht="30" customHeight="1" thickBot="1" x14ac:dyDescent="0.3">
      <c r="A2781" s="61"/>
      <c r="B2781" s="20"/>
      <c r="C2781" s="18"/>
      <c r="D2781" s="18"/>
      <c r="E2781" s="18"/>
      <c r="F2781" s="18"/>
      <c r="G2781" s="13"/>
      <c r="H2781" s="18"/>
      <c r="I2781" s="1245" t="s">
        <v>537</v>
      </c>
      <c r="J2781" s="361">
        <f>VLOOKUP(B2773,'Mil Cost Premiums for RUCs'!$A$4:$R$265,18,FALSE)</f>
        <v>1.1861082984327833</v>
      </c>
      <c r="K2781" s="23">
        <f>+K2780*J2781</f>
        <v>103.46742936469747</v>
      </c>
      <c r="L2781" s="20" t="s">
        <v>9</v>
      </c>
      <c r="M2781" s="1368"/>
      <c r="N2781" s="1310"/>
      <c r="P2781" s="43"/>
      <c r="Q2781" s="43"/>
      <c r="R2781" s="43"/>
      <c r="S2781" s="60"/>
      <c r="T2781" s="60"/>
      <c r="U2781" s="43"/>
    </row>
    <row r="2782" spans="1:21" ht="30" customHeight="1" thickBot="1" x14ac:dyDescent="0.3">
      <c r="A2782" s="76"/>
      <c r="B2782" s="77"/>
      <c r="C2782" s="77"/>
      <c r="D2782" s="77"/>
      <c r="E2782" s="77"/>
      <c r="F2782" s="77"/>
      <c r="G2782" s="77"/>
      <c r="H2782" s="77"/>
      <c r="I2782" s="77"/>
      <c r="J2782" s="77"/>
      <c r="K2782" s="77"/>
      <c r="L2782" s="78"/>
      <c r="M2782" s="43"/>
      <c r="P2782" s="43"/>
      <c r="Q2782" s="43"/>
      <c r="R2782" s="43"/>
      <c r="S2782" s="60"/>
      <c r="T2782" s="60"/>
      <c r="U2782" s="43"/>
    </row>
    <row r="2783" spans="1:21" s="41" customFormat="1" ht="30" customHeight="1" x14ac:dyDescent="0.25">
      <c r="A2783" s="207" t="s">
        <v>288</v>
      </c>
      <c r="B2783" s="208">
        <v>6104</v>
      </c>
      <c r="C2783" s="282" t="s">
        <v>1963</v>
      </c>
      <c r="D2783" s="283"/>
      <c r="E2783" s="177" t="s">
        <v>291</v>
      </c>
      <c r="F2783" s="178" t="s">
        <v>9</v>
      </c>
      <c r="G2783" s="123" t="s">
        <v>375</v>
      </c>
      <c r="H2783" s="1051">
        <v>10764</v>
      </c>
      <c r="I2783" s="177" t="s">
        <v>292</v>
      </c>
      <c r="J2783" s="38" t="s">
        <v>1964</v>
      </c>
      <c r="K2783" s="39"/>
      <c r="L2783" s="40"/>
      <c r="M2783" s="25"/>
      <c r="N2783" s="25"/>
      <c r="O2783" s="42"/>
    </row>
    <row r="2784" spans="1:21" s="49" customFormat="1" ht="30" customHeight="1" x14ac:dyDescent="0.25">
      <c r="A2784" s="181"/>
      <c r="B2784" s="180" t="s">
        <v>295</v>
      </c>
      <c r="C2784" s="180"/>
      <c r="D2784" s="180"/>
      <c r="E2784" s="181" t="s">
        <v>518</v>
      </c>
      <c r="F2784" s="181" t="s">
        <v>519</v>
      </c>
      <c r="G2784" s="286"/>
      <c r="H2784" s="287"/>
      <c r="I2784" s="286" t="s">
        <v>520</v>
      </c>
      <c r="J2784" s="287"/>
      <c r="K2784" s="288" t="s">
        <v>521</v>
      </c>
      <c r="L2784" s="289"/>
      <c r="M2784" s="502"/>
      <c r="N2784" s="502"/>
      <c r="O2784" s="27"/>
    </row>
    <row r="2785" spans="1:21" ht="30" customHeight="1" x14ac:dyDescent="0.25">
      <c r="A2785" s="147" t="s">
        <v>522</v>
      </c>
      <c r="B2785" s="214" t="s">
        <v>1965</v>
      </c>
      <c r="C2785" s="214"/>
      <c r="D2785" s="214"/>
      <c r="E2785" s="1071">
        <v>26000</v>
      </c>
      <c r="F2785" s="292">
        <v>294</v>
      </c>
      <c r="G2785" s="1072"/>
      <c r="H2785" s="1073"/>
      <c r="I2785" s="295">
        <f>+'MILCON Inflation Table'!F12</f>
        <v>1.0795163710175624</v>
      </c>
      <c r="J2785" s="296"/>
      <c r="K2785" s="768">
        <f>+F2785*I2785</f>
        <v>317.37781307916333</v>
      </c>
      <c r="L2785" s="147" t="s">
        <v>9</v>
      </c>
      <c r="M2785" s="341"/>
      <c r="N2785" s="342"/>
    </row>
    <row r="2786" spans="1:21" ht="30" customHeight="1" thickBot="1" x14ac:dyDescent="0.3">
      <c r="A2786" s="20"/>
      <c r="B2786" s="191" t="s">
        <v>1966</v>
      </c>
      <c r="C2786" s="191"/>
      <c r="D2786" s="191"/>
      <c r="E2786" s="297"/>
      <c r="F2786" s="298"/>
      <c r="G2786" s="298"/>
      <c r="H2786" s="299"/>
      <c r="I2786" s="18"/>
      <c r="J2786" s="185" t="s">
        <v>358</v>
      </c>
      <c r="K2786" s="305">
        <f>+K2785</f>
        <v>317.37781307916333</v>
      </c>
      <c r="L2786" s="20" t="s">
        <v>9</v>
      </c>
      <c r="P2786" s="43"/>
      <c r="Q2786" s="43"/>
      <c r="R2786" s="43"/>
      <c r="S2786" s="60"/>
      <c r="T2786" s="60"/>
      <c r="U2786" s="43"/>
    </row>
    <row r="2787" spans="1:21" ht="30" customHeight="1" thickBot="1" x14ac:dyDescent="0.3">
      <c r="A2787" s="76"/>
      <c r="B2787" s="77"/>
      <c r="C2787" s="77"/>
      <c r="D2787" s="77"/>
      <c r="E2787" s="77"/>
      <c r="F2787" s="77"/>
      <c r="G2787" s="77"/>
      <c r="H2787" s="77"/>
      <c r="I2787" s="77"/>
      <c r="J2787" s="77"/>
      <c r="K2787" s="77"/>
      <c r="L2787" s="78"/>
      <c r="M2787" s="43"/>
      <c r="P2787" s="43"/>
      <c r="Q2787" s="43"/>
      <c r="R2787" s="43"/>
      <c r="S2787" s="60"/>
      <c r="T2787" s="60"/>
      <c r="U2787" s="43"/>
    </row>
    <row r="2788" spans="1:21" s="41" customFormat="1" ht="30" customHeight="1" x14ac:dyDescent="0.25">
      <c r="A2788" s="207" t="s">
        <v>288</v>
      </c>
      <c r="B2788" s="208">
        <v>6106</v>
      </c>
      <c r="C2788" s="282" t="s">
        <v>1967</v>
      </c>
      <c r="D2788" s="283"/>
      <c r="E2788" s="177" t="s">
        <v>291</v>
      </c>
      <c r="F2788" s="178" t="s">
        <v>9</v>
      </c>
      <c r="G2788" s="123" t="s">
        <v>375</v>
      </c>
      <c r="H2788" s="302">
        <v>28198</v>
      </c>
      <c r="I2788" s="177" t="s">
        <v>292</v>
      </c>
      <c r="J2788" s="38" t="s">
        <v>1838</v>
      </c>
      <c r="K2788" s="39"/>
      <c r="L2788" s="40"/>
      <c r="M2788" s="25"/>
      <c r="N2788" s="25"/>
      <c r="O2788" s="42"/>
    </row>
    <row r="2789" spans="1:21" s="49" customFormat="1" ht="30" customHeight="1" x14ac:dyDescent="0.25">
      <c r="A2789" s="181" t="s">
        <v>517</v>
      </c>
      <c r="B2789" s="180" t="s">
        <v>295</v>
      </c>
      <c r="C2789" s="180"/>
      <c r="D2789" s="180"/>
      <c r="E2789" s="285" t="s">
        <v>519</v>
      </c>
      <c r="F2789" s="181" t="s">
        <v>518</v>
      </c>
      <c r="G2789" s="665" t="s">
        <v>562</v>
      </c>
      <c r="H2789" s="666"/>
      <c r="I2789" s="286" t="s">
        <v>520</v>
      </c>
      <c r="J2789" s="287"/>
      <c r="K2789" s="288" t="s">
        <v>521</v>
      </c>
      <c r="L2789" s="289"/>
      <c r="M2789" s="502"/>
      <c r="N2789" s="502"/>
      <c r="O2789" s="27"/>
    </row>
    <row r="2790" spans="1:21" ht="30" customHeight="1" x14ac:dyDescent="0.25">
      <c r="A2790" s="20">
        <v>21612</v>
      </c>
      <c r="B2790" s="402" t="s">
        <v>1968</v>
      </c>
      <c r="C2790" s="403"/>
      <c r="D2790" s="404"/>
      <c r="E2790" s="405">
        <v>193</v>
      </c>
      <c r="F2790" s="729">
        <v>13000</v>
      </c>
      <c r="G2790" s="680"/>
      <c r="H2790" s="680"/>
      <c r="I2790" s="1109">
        <f>+'MILCON Inflation Table'!F8</f>
        <v>1.2318227593152065</v>
      </c>
      <c r="J2790" s="1110"/>
      <c r="K2790" s="304">
        <f>+E2790*I2790</f>
        <v>237.74179254783485</v>
      </c>
      <c r="L2790" s="290" t="s">
        <v>9</v>
      </c>
      <c r="M2790" s="341"/>
      <c r="N2790" s="342"/>
    </row>
    <row r="2791" spans="1:21" ht="30" customHeight="1" thickBot="1" x14ac:dyDescent="0.3">
      <c r="A2791" s="20"/>
      <c r="B2791" s="503"/>
      <c r="C2791" s="504"/>
      <c r="D2791" s="505"/>
      <c r="E2791" s="465"/>
      <c r="F2791" s="763"/>
      <c r="G2791" s="465"/>
      <c r="H2791" s="764"/>
      <c r="I2791" s="18"/>
      <c r="J2791" s="185" t="s">
        <v>358</v>
      </c>
      <c r="K2791" s="305">
        <f>AVERAGE(K2790:K2790)</f>
        <v>237.74179254783485</v>
      </c>
      <c r="L2791" s="290" t="s">
        <v>9</v>
      </c>
      <c r="O2791"/>
      <c r="P2791" s="412"/>
      <c r="Q2791" s="391"/>
      <c r="R2791" s="393"/>
    </row>
    <row r="2792" spans="1:21" ht="30" customHeight="1" thickBot="1" x14ac:dyDescent="0.3">
      <c r="A2792" s="76"/>
      <c r="B2792" s="77"/>
      <c r="C2792" s="77"/>
      <c r="D2792" s="77"/>
      <c r="E2792" s="77"/>
      <c r="F2792" s="77"/>
      <c r="G2792" s="77"/>
      <c r="H2792" s="77"/>
      <c r="I2792" s="77"/>
      <c r="J2792" s="77"/>
      <c r="K2792" s="77"/>
      <c r="L2792" s="78"/>
      <c r="M2792" s="43"/>
      <c r="O2792"/>
      <c r="P2792" s="412"/>
      <c r="Q2792" s="391"/>
      <c r="R2792" s="393"/>
    </row>
    <row r="2793" spans="1:21" s="41" customFormat="1" ht="30" customHeight="1" x14ac:dyDescent="0.25">
      <c r="A2793" s="30" t="s">
        <v>288</v>
      </c>
      <c r="B2793" s="208">
        <v>6107</v>
      </c>
      <c r="C2793" s="209" t="s">
        <v>3243</v>
      </c>
      <c r="D2793" s="210"/>
      <c r="E2793" s="177" t="s">
        <v>291</v>
      </c>
      <c r="F2793" s="388" t="s">
        <v>9</v>
      </c>
      <c r="G2793" s="123" t="s">
        <v>375</v>
      </c>
      <c r="H2793" s="1051">
        <v>800000</v>
      </c>
      <c r="I2793" s="177" t="s">
        <v>292</v>
      </c>
      <c r="J2793" s="38" t="s">
        <v>883</v>
      </c>
      <c r="K2793" s="38"/>
      <c r="L2793" s="389"/>
      <c r="M2793" s="25"/>
      <c r="N2793" s="25"/>
      <c r="O2793" s="42"/>
    </row>
    <row r="2794" spans="1:21" s="49" customFormat="1" ht="30" customHeight="1" x14ac:dyDescent="0.25">
      <c r="A2794" s="48" t="s">
        <v>529</v>
      </c>
      <c r="B2794" s="394" t="s">
        <v>560</v>
      </c>
      <c r="C2794" s="395"/>
      <c r="D2794" s="396"/>
      <c r="E2794" s="397" t="s">
        <v>519</v>
      </c>
      <c r="F2794" s="397" t="s">
        <v>561</v>
      </c>
      <c r="G2794" s="398" t="s">
        <v>562</v>
      </c>
      <c r="H2794" s="399"/>
      <c r="I2794" s="181" t="s">
        <v>530</v>
      </c>
      <c r="J2794" s="181"/>
      <c r="K2794" s="288" t="s">
        <v>521</v>
      </c>
      <c r="L2794" s="289"/>
      <c r="M2794" s="502"/>
      <c r="N2794" s="502"/>
      <c r="O2794" s="27"/>
    </row>
    <row r="2795" spans="1:21" ht="30" customHeight="1" x14ac:dyDescent="0.25">
      <c r="A2795" s="1299" t="s">
        <v>2005</v>
      </c>
      <c r="B2795" s="503" t="s">
        <v>3246</v>
      </c>
      <c r="C2795" s="504"/>
      <c r="D2795" s="505"/>
      <c r="E2795" s="405">
        <v>209.11</v>
      </c>
      <c r="F2795" s="20" t="s">
        <v>9</v>
      </c>
      <c r="G2795" s="522"/>
      <c r="H2795" s="20"/>
      <c r="I2795" s="20">
        <v>1.04</v>
      </c>
      <c r="J2795" s="751"/>
      <c r="K2795" s="405">
        <f>+E2795*I2795</f>
        <v>217.47440000000003</v>
      </c>
      <c r="L2795" s="20" t="s">
        <v>9</v>
      </c>
      <c r="M2795" s="341"/>
      <c r="N2795" s="342"/>
    </row>
    <row r="2796" spans="1:21" ht="30" customHeight="1" x14ac:dyDescent="0.25">
      <c r="A2796" s="1299" t="s">
        <v>2005</v>
      </c>
      <c r="B2796" s="191" t="s">
        <v>3248</v>
      </c>
      <c r="C2796" s="191"/>
      <c r="D2796" s="191"/>
      <c r="E2796" s="23"/>
      <c r="F2796" s="20"/>
      <c r="G2796" s="1821">
        <v>0.06</v>
      </c>
      <c r="H2796" s="754"/>
      <c r="I2796" s="20"/>
      <c r="J2796" s="751"/>
      <c r="K2796" s="405">
        <f>+K2795*1.06</f>
        <v>230.52286400000006</v>
      </c>
      <c r="L2796" s="20" t="s">
        <v>9</v>
      </c>
      <c r="P2796" s="43"/>
      <c r="Q2796" s="43"/>
      <c r="R2796" s="43"/>
      <c r="S2796" s="60"/>
      <c r="T2796" s="60"/>
      <c r="U2796" s="43"/>
    </row>
    <row r="2797" spans="1:21" ht="30" customHeight="1" x14ac:dyDescent="0.25">
      <c r="A2797" s="1299" t="s">
        <v>691</v>
      </c>
      <c r="B2797" s="191" t="s">
        <v>3249</v>
      </c>
      <c r="C2797" s="191"/>
      <c r="D2797" s="191"/>
      <c r="E2797" s="23">
        <v>2.2200000000000002</v>
      </c>
      <c r="F2797" s="20" t="s">
        <v>9</v>
      </c>
      <c r="G2797" s="1821"/>
      <c r="H2797" s="754"/>
      <c r="I2797" s="20">
        <v>1.04</v>
      </c>
      <c r="J2797" s="751"/>
      <c r="K2797" s="405">
        <f>+E2797*I2797</f>
        <v>2.3088000000000002</v>
      </c>
      <c r="L2797" s="20"/>
      <c r="P2797" s="43"/>
      <c r="Q2797" s="43"/>
      <c r="R2797" s="43"/>
      <c r="S2797" s="60"/>
      <c r="T2797" s="60"/>
      <c r="U2797" s="43"/>
    </row>
    <row r="2798" spans="1:21" ht="30" customHeight="1" x14ac:dyDescent="0.25">
      <c r="A2798" s="61"/>
      <c r="B2798" s="191"/>
      <c r="C2798" s="191"/>
      <c r="D2798" s="191"/>
      <c r="E2798" s="405"/>
      <c r="F2798" s="20"/>
      <c r="G2798" s="838"/>
      <c r="H2798" s="754"/>
      <c r="I2798" s="20"/>
      <c r="J2798" s="20" t="s">
        <v>578</v>
      </c>
      <c r="K2798" s="405">
        <f>+K2797+K2795</f>
        <v>219.78320000000002</v>
      </c>
      <c r="L2798" s="20" t="s">
        <v>9</v>
      </c>
      <c r="M2798" s="43"/>
      <c r="P2798" s="43"/>
      <c r="Q2798" s="43"/>
      <c r="R2798" s="43"/>
      <c r="S2798" s="60"/>
      <c r="T2798" s="60"/>
      <c r="U2798" s="43"/>
    </row>
    <row r="2799" spans="1:21" s="41" customFormat="1" ht="30" customHeight="1" x14ac:dyDescent="0.25">
      <c r="A2799" s="61"/>
      <c r="B2799" s="410"/>
      <c r="C2799" s="410"/>
      <c r="D2799" s="410"/>
      <c r="E2799" s="405"/>
      <c r="F2799" s="338" t="s">
        <v>533</v>
      </c>
      <c r="G2799" s="339" t="s">
        <v>534</v>
      </c>
      <c r="H2799" s="339"/>
      <c r="I2799" s="339"/>
      <c r="J2799" s="339"/>
      <c r="K2799" s="751">
        <v>1.08</v>
      </c>
      <c r="L2799" s="10"/>
      <c r="M2799" s="25"/>
      <c r="N2799" s="25"/>
      <c r="O2799" s="42"/>
    </row>
    <row r="2800" spans="1:21" s="49" customFormat="1" ht="30" customHeight="1" x14ac:dyDescent="0.25">
      <c r="A2800" s="61"/>
      <c r="B2800" s="410"/>
      <c r="C2800" s="410"/>
      <c r="D2800" s="410"/>
      <c r="E2800" s="405"/>
      <c r="F2800" s="343"/>
      <c r="G2800" s="344" t="s">
        <v>535</v>
      </c>
      <c r="H2800" s="344"/>
      <c r="I2800" s="344"/>
      <c r="J2800" s="344"/>
      <c r="K2800" s="340">
        <v>1.02</v>
      </c>
      <c r="L2800" s="10"/>
      <c r="M2800" s="502"/>
      <c r="N2800" s="502"/>
      <c r="O2800" s="27"/>
    </row>
    <row r="2801" spans="1:21" ht="30" customHeight="1" x14ac:dyDescent="0.25">
      <c r="A2801" s="716" t="s">
        <v>3245</v>
      </c>
      <c r="B2801" s="717"/>
      <c r="C2801" s="717"/>
      <c r="D2801" s="718"/>
      <c r="E2801" s="18"/>
      <c r="F2801" s="18"/>
      <c r="G2801" s="18"/>
      <c r="H2801" s="18"/>
      <c r="I2801" s="18"/>
      <c r="J2801" s="20" t="s">
        <v>358</v>
      </c>
      <c r="K2801" s="23">
        <f>+K2798*K2799/K2800</f>
        <v>232.71162352941181</v>
      </c>
      <c r="L2801" s="20" t="s">
        <v>9</v>
      </c>
      <c r="M2801" s="341"/>
      <c r="N2801" s="342"/>
    </row>
    <row r="2802" spans="1:21" ht="30" customHeight="1" thickBot="1" x14ac:dyDescent="0.3">
      <c r="A2802" s="1626" t="s">
        <v>3244</v>
      </c>
      <c r="B2802" s="1627"/>
      <c r="C2802" s="1627"/>
      <c r="D2802" s="1628"/>
      <c r="E2802" s="18"/>
      <c r="F2802" s="18"/>
      <c r="G2802" s="13"/>
      <c r="H2802" s="18"/>
      <c r="I2802" s="1245" t="s">
        <v>537</v>
      </c>
      <c r="J2802" s="361">
        <f>VLOOKUP(B2793,'Mil Cost Premiums for RUCs'!$A$4:$R$265,18,FALSE)</f>
        <v>1.3319480854780448</v>
      </c>
      <c r="K2802" s="23">
        <f>+K2801*J2802</f>
        <v>309.95980142848759</v>
      </c>
      <c r="L2802" s="20" t="s">
        <v>9</v>
      </c>
      <c r="M2802" s="1368"/>
      <c r="N2802" s="1310"/>
      <c r="P2802" s="43"/>
      <c r="Q2802" s="43"/>
      <c r="R2802" s="43"/>
      <c r="S2802" s="60"/>
      <c r="T2802" s="60"/>
      <c r="U2802" s="43"/>
    </row>
    <row r="2803" spans="1:21" ht="30" customHeight="1" thickBot="1" x14ac:dyDescent="0.3">
      <c r="A2803" s="76"/>
      <c r="B2803" s="77"/>
      <c r="C2803" s="77"/>
      <c r="D2803" s="77"/>
      <c r="E2803" s="77"/>
      <c r="F2803" s="77"/>
      <c r="G2803" s="77"/>
      <c r="H2803" s="77"/>
      <c r="I2803" s="77"/>
      <c r="J2803" s="77"/>
      <c r="K2803" s="77"/>
      <c r="L2803" s="78"/>
      <c r="M2803" s="43"/>
      <c r="P2803" s="43"/>
      <c r="Q2803" s="43"/>
      <c r="R2803" s="43"/>
      <c r="S2803" s="60"/>
      <c r="T2803" s="60"/>
      <c r="U2803" s="43"/>
    </row>
    <row r="2804" spans="1:21" ht="30" customHeight="1" x14ac:dyDescent="0.25">
      <c r="A2804" s="207" t="s">
        <v>288</v>
      </c>
      <c r="B2804" s="208">
        <v>6200</v>
      </c>
      <c r="C2804" s="282" t="s">
        <v>1969</v>
      </c>
      <c r="D2804" s="283"/>
      <c r="E2804" s="177" t="s">
        <v>291</v>
      </c>
      <c r="F2804" s="178" t="s">
        <v>9</v>
      </c>
      <c r="G2804" s="123" t="s">
        <v>375</v>
      </c>
      <c r="H2804" s="179">
        <v>6297</v>
      </c>
      <c r="I2804" s="177" t="s">
        <v>292</v>
      </c>
      <c r="J2804" s="38" t="s">
        <v>1838</v>
      </c>
      <c r="K2804" s="39"/>
      <c r="L2804" s="40"/>
      <c r="M2804" s="419"/>
      <c r="N2804" s="420"/>
      <c r="O2804"/>
      <c r="P2804" s="412"/>
      <c r="Q2804" s="391"/>
      <c r="R2804" s="393"/>
    </row>
    <row r="2805" spans="1:21" s="49" customFormat="1" ht="30" customHeight="1" x14ac:dyDescent="0.25">
      <c r="A2805" s="181" t="s">
        <v>517</v>
      </c>
      <c r="B2805" s="180" t="s">
        <v>295</v>
      </c>
      <c r="C2805" s="180"/>
      <c r="D2805" s="180"/>
      <c r="E2805" s="182" t="s">
        <v>518</v>
      </c>
      <c r="F2805" s="285" t="s">
        <v>519</v>
      </c>
      <c r="G2805" s="1314"/>
      <c r="H2805" s="1315"/>
      <c r="I2805" s="286" t="s">
        <v>520</v>
      </c>
      <c r="J2805" s="287"/>
      <c r="K2805" s="288" t="s">
        <v>521</v>
      </c>
      <c r="L2805" s="289"/>
      <c r="M2805" s="425"/>
      <c r="N2805" s="420"/>
      <c r="P2805" s="412"/>
      <c r="Q2805" s="391"/>
      <c r="R2805" s="393"/>
    </row>
    <row r="2806" spans="1:21" ht="30" customHeight="1" x14ac:dyDescent="0.25">
      <c r="A2806" s="290">
        <v>62010</v>
      </c>
      <c r="B2806" s="214" t="s">
        <v>1970</v>
      </c>
      <c r="C2806" s="214"/>
      <c r="D2806" s="214"/>
      <c r="E2806" s="291">
        <v>6000</v>
      </c>
      <c r="F2806" s="303">
        <v>235</v>
      </c>
      <c r="G2806" s="290"/>
      <c r="H2806" s="1127"/>
      <c r="I2806" s="1109">
        <f>+'MILCON Inflation Table'!F8</f>
        <v>1.2318227593152065</v>
      </c>
      <c r="J2806" s="1110"/>
      <c r="K2806" s="304">
        <f>+F2806*I2806</f>
        <v>289.4783484390735</v>
      </c>
      <c r="L2806" s="290" t="s">
        <v>9</v>
      </c>
      <c r="M2806" s="1368"/>
      <c r="N2806" s="1310"/>
      <c r="O2806"/>
      <c r="P2806" s="412"/>
      <c r="Q2806" s="391"/>
      <c r="R2806" s="393"/>
    </row>
    <row r="2807" spans="1:21" ht="30" customHeight="1" thickBot="1" x14ac:dyDescent="0.3">
      <c r="A2807" s="20"/>
      <c r="B2807" s="191"/>
      <c r="C2807" s="191"/>
      <c r="D2807" s="191"/>
      <c r="E2807" s="297"/>
      <c r="F2807" s="298"/>
      <c r="G2807" s="298"/>
      <c r="H2807" s="299"/>
      <c r="I2807" s="18"/>
      <c r="J2807" s="185" t="s">
        <v>358</v>
      </c>
      <c r="K2807" s="305">
        <f>+K2806</f>
        <v>289.4783484390735</v>
      </c>
      <c r="L2807" s="20" t="s">
        <v>9</v>
      </c>
      <c r="M2807" s="419"/>
      <c r="N2807" s="420"/>
      <c r="O2807"/>
      <c r="P2807" s="412"/>
      <c r="Q2807" s="391"/>
      <c r="R2807" s="393"/>
    </row>
    <row r="2808" spans="1:21" ht="30" customHeight="1" thickBot="1" x14ac:dyDescent="0.3">
      <c r="A2808" s="76"/>
      <c r="B2808" s="77"/>
      <c r="C2808" s="77"/>
      <c r="D2808" s="77"/>
      <c r="E2808" s="77"/>
      <c r="F2808" s="77"/>
      <c r="G2808" s="77"/>
      <c r="H2808" s="77"/>
      <c r="I2808" s="77"/>
      <c r="J2808" s="77"/>
      <c r="K2808" s="77"/>
      <c r="L2808" s="78"/>
      <c r="M2808" s="419"/>
      <c r="N2808" s="420"/>
      <c r="O2808"/>
      <c r="P2808" s="412"/>
      <c r="Q2808" s="391"/>
      <c r="R2808" s="393"/>
    </row>
    <row r="2809" spans="1:21" ht="30" customHeight="1" x14ac:dyDescent="0.25">
      <c r="A2809" s="207" t="s">
        <v>288</v>
      </c>
      <c r="B2809" s="208">
        <v>6201</v>
      </c>
      <c r="C2809" s="282" t="s">
        <v>1971</v>
      </c>
      <c r="D2809" s="283"/>
      <c r="E2809" s="177" t="s">
        <v>291</v>
      </c>
      <c r="F2809" s="178" t="s">
        <v>9</v>
      </c>
      <c r="G2809" s="123" t="s">
        <v>375</v>
      </c>
      <c r="H2809" s="302">
        <v>17835</v>
      </c>
      <c r="I2809" s="177" t="s">
        <v>292</v>
      </c>
      <c r="J2809" s="38" t="s">
        <v>3377</v>
      </c>
      <c r="K2809" s="39"/>
      <c r="L2809" s="40"/>
      <c r="M2809" s="670"/>
      <c r="N2809" s="671"/>
      <c r="O2809" s="43"/>
      <c r="P2809" s="672"/>
      <c r="Q2809" s="671"/>
      <c r="R2809" s="673"/>
    </row>
    <row r="2810" spans="1:21" ht="30" customHeight="1" x14ac:dyDescent="0.25">
      <c r="A2810" s="181" t="s">
        <v>517</v>
      </c>
      <c r="B2810" s="180" t="s">
        <v>295</v>
      </c>
      <c r="C2810" s="180"/>
      <c r="D2810" s="180"/>
      <c r="E2810" s="182" t="s">
        <v>518</v>
      </c>
      <c r="F2810" s="285" t="s">
        <v>519</v>
      </c>
      <c r="G2810" s="1314"/>
      <c r="H2810" s="182"/>
      <c r="I2810" s="286" t="s">
        <v>520</v>
      </c>
      <c r="J2810" s="287"/>
      <c r="K2810" s="288" t="s">
        <v>521</v>
      </c>
      <c r="L2810" s="289"/>
      <c r="M2810" s="670"/>
      <c r="N2810" s="671"/>
      <c r="O2810" s="43"/>
      <c r="P2810" s="672"/>
      <c r="Q2810" s="671"/>
      <c r="R2810" s="673"/>
    </row>
    <row r="2811" spans="1:21" ht="30" customHeight="1" x14ac:dyDescent="0.25">
      <c r="A2811" s="147" t="s">
        <v>522</v>
      </c>
      <c r="B2811" s="214" t="s">
        <v>523</v>
      </c>
      <c r="C2811" s="214"/>
      <c r="D2811" s="214"/>
      <c r="E2811" s="1071">
        <v>34000</v>
      </c>
      <c r="F2811" s="1316">
        <v>360</v>
      </c>
      <c r="G2811" s="290"/>
      <c r="H2811" s="1207"/>
      <c r="I2811" s="295" t="s">
        <v>524</v>
      </c>
      <c r="J2811" s="296"/>
      <c r="K2811" s="1317">
        <f>+F2811</f>
        <v>360</v>
      </c>
      <c r="L2811" s="147" t="s">
        <v>9</v>
      </c>
      <c r="M2811" s="419"/>
      <c r="N2811" s="420"/>
      <c r="O2811"/>
      <c r="P2811" s="412"/>
      <c r="Q2811" s="391"/>
      <c r="R2811" s="393"/>
    </row>
    <row r="2812" spans="1:21" ht="30" customHeight="1" x14ac:dyDescent="0.25">
      <c r="A2812" s="290">
        <v>62010</v>
      </c>
      <c r="B2812" s="214" t="s">
        <v>1970</v>
      </c>
      <c r="C2812" s="214"/>
      <c r="D2812" s="214"/>
      <c r="E2812" s="291">
        <v>6000</v>
      </c>
      <c r="F2812" s="303">
        <v>235</v>
      </c>
      <c r="G2812" s="290"/>
      <c r="H2812" s="1318"/>
      <c r="I2812" s="1109">
        <f>+'MILCON Inflation Table'!F8</f>
        <v>1.2318227593152065</v>
      </c>
      <c r="J2812" s="1110"/>
      <c r="K2812" s="292">
        <f>+F2812*I2812</f>
        <v>289.4783484390735</v>
      </c>
      <c r="L2812" s="290" t="s">
        <v>9</v>
      </c>
      <c r="P2812" s="43"/>
      <c r="Q2812" s="43"/>
      <c r="R2812" s="43"/>
      <c r="S2812" s="60"/>
      <c r="T2812" s="60"/>
      <c r="U2812" s="43"/>
    </row>
    <row r="2813" spans="1:21" ht="30" customHeight="1" x14ac:dyDescent="0.25">
      <c r="A2813" s="290"/>
      <c r="B2813" s="475"/>
      <c r="C2813" s="475"/>
      <c r="D2813" s="1319"/>
      <c r="E2813" s="514"/>
      <c r="F2813" s="1320"/>
      <c r="G2813" s="515"/>
      <c r="H2813" s="1321"/>
      <c r="I2813" s="782"/>
      <c r="J2813" s="1318" t="s">
        <v>536</v>
      </c>
      <c r="K2813" s="292">
        <f>AVERAGE(K2811:K2812)</f>
        <v>324.73917421953672</v>
      </c>
      <c r="L2813" s="290" t="s">
        <v>9</v>
      </c>
      <c r="M2813" s="419"/>
      <c r="N2813" s="420"/>
      <c r="U2813" s="43"/>
    </row>
    <row r="2814" spans="1:21" ht="30" customHeight="1" thickBot="1" x14ac:dyDescent="0.3">
      <c r="A2814" s="20"/>
      <c r="B2814" s="191"/>
      <c r="C2814" s="191"/>
      <c r="D2814" s="191"/>
      <c r="E2814" s="297"/>
      <c r="F2814" s="298"/>
      <c r="G2814" s="298"/>
      <c r="H2814" s="299"/>
      <c r="I2814" s="18"/>
      <c r="J2814" s="185" t="s">
        <v>358</v>
      </c>
      <c r="K2814" s="301">
        <f>+K2813</f>
        <v>324.73917421953672</v>
      </c>
      <c r="L2814" s="20" t="s">
        <v>9</v>
      </c>
      <c r="U2814" s="43"/>
    </row>
    <row r="2815" spans="1:21" s="49" customFormat="1" ht="30" customHeight="1" thickBot="1" x14ac:dyDescent="0.3">
      <c r="A2815" s="76"/>
      <c r="B2815" s="77"/>
      <c r="C2815" s="77"/>
      <c r="D2815" s="77"/>
      <c r="E2815" s="77"/>
      <c r="F2815" s="77"/>
      <c r="G2815" s="77"/>
      <c r="H2815" s="77"/>
      <c r="I2815" s="77"/>
      <c r="J2815" s="77"/>
      <c r="K2815" s="77"/>
      <c r="L2815" s="78"/>
      <c r="M2815" s="1962"/>
      <c r="N2815" s="1866"/>
      <c r="O2815" s="27"/>
      <c r="P2815" s="50"/>
      <c r="Q2815" s="50"/>
      <c r="R2815" s="50"/>
      <c r="S2815" s="212"/>
      <c r="T2815" s="212"/>
    </row>
    <row r="2816" spans="1:21" ht="30" customHeight="1" x14ac:dyDescent="0.25">
      <c r="A2816" s="30" t="s">
        <v>288</v>
      </c>
      <c r="B2816" s="208">
        <v>6900</v>
      </c>
      <c r="C2816" s="282" t="s">
        <v>1972</v>
      </c>
      <c r="D2816" s="283"/>
      <c r="E2816" s="177" t="s">
        <v>291</v>
      </c>
      <c r="F2816" s="178" t="s">
        <v>11</v>
      </c>
      <c r="G2816" s="250" t="s">
        <v>290</v>
      </c>
      <c r="H2816" s="388">
        <v>1</v>
      </c>
      <c r="I2816" s="177" t="s">
        <v>292</v>
      </c>
      <c r="J2816" s="38" t="s">
        <v>883</v>
      </c>
      <c r="K2816" s="38"/>
      <c r="L2816" s="389"/>
      <c r="M2816" s="502"/>
      <c r="P2816" s="43"/>
      <c r="Q2816" s="43"/>
      <c r="R2816" s="43"/>
      <c r="S2816" s="60"/>
      <c r="T2816" s="60"/>
    </row>
    <row r="2817" spans="1:21" ht="30" customHeight="1" x14ac:dyDescent="0.25">
      <c r="A2817" s="48" t="s">
        <v>529</v>
      </c>
      <c r="B2817" s="394" t="s">
        <v>560</v>
      </c>
      <c r="C2817" s="395"/>
      <c r="D2817" s="396"/>
      <c r="E2817" s="397" t="s">
        <v>519</v>
      </c>
      <c r="F2817" s="397" t="s">
        <v>561</v>
      </c>
      <c r="G2817" s="398" t="s">
        <v>562</v>
      </c>
      <c r="H2817" s="399"/>
      <c r="I2817" s="181" t="s">
        <v>530</v>
      </c>
      <c r="J2817" s="181"/>
      <c r="K2817" s="288" t="s">
        <v>521</v>
      </c>
      <c r="L2817" s="289"/>
      <c r="O2817" s="42"/>
      <c r="P2817" s="41"/>
      <c r="Q2817" s="41"/>
      <c r="R2817" s="41"/>
      <c r="S2817" s="41"/>
      <c r="T2817" s="41"/>
      <c r="U2817" s="43"/>
    </row>
    <row r="2818" spans="1:21" ht="30" customHeight="1" x14ac:dyDescent="0.25">
      <c r="A2818" s="1299" t="s">
        <v>773</v>
      </c>
      <c r="B2818" s="402" t="s">
        <v>1973</v>
      </c>
      <c r="C2818" s="403"/>
      <c r="D2818" s="404"/>
      <c r="E2818" s="405">
        <f>+(3200+7000)/2</f>
        <v>5100</v>
      </c>
      <c r="F2818" s="20" t="s">
        <v>11</v>
      </c>
      <c r="G2818" s="522"/>
      <c r="H2818" s="20"/>
      <c r="I2818" s="20">
        <v>1.04</v>
      </c>
      <c r="J2818" s="20"/>
      <c r="K2818" s="405">
        <f>+E2818*I2818</f>
        <v>5304</v>
      </c>
      <c r="L2818" s="20" t="s">
        <v>11</v>
      </c>
      <c r="M2818" s="43"/>
      <c r="U2818" s="43"/>
    </row>
    <row r="2819" spans="1:21" s="41" customFormat="1" ht="30" customHeight="1" x14ac:dyDescent="0.25">
      <c r="A2819" s="1299" t="s">
        <v>1974</v>
      </c>
      <c r="B2819" s="402" t="s">
        <v>1975</v>
      </c>
      <c r="C2819" s="403"/>
      <c r="D2819" s="404"/>
      <c r="E2819" s="1092">
        <f>+((99+139)/2)*75</f>
        <v>8925</v>
      </c>
      <c r="F2819" s="20" t="s">
        <v>11</v>
      </c>
      <c r="G2819" s="1098"/>
      <c r="H2819" s="754"/>
      <c r="I2819" s="20">
        <v>1.04</v>
      </c>
      <c r="J2819" s="20"/>
      <c r="K2819" s="405">
        <f>+E2819*I2819</f>
        <v>9282</v>
      </c>
      <c r="L2819" s="20" t="s">
        <v>11</v>
      </c>
      <c r="M2819" s="25"/>
      <c r="N2819" s="342"/>
      <c r="O2819" s="27"/>
      <c r="P2819"/>
      <c r="Q2819"/>
      <c r="R2819"/>
      <c r="S2819"/>
      <c r="T2819"/>
    </row>
    <row r="2820" spans="1:21" s="49" customFormat="1" ht="30" customHeight="1" x14ac:dyDescent="0.25">
      <c r="A2820" s="61"/>
      <c r="B2820" s="191"/>
      <c r="C2820" s="191"/>
      <c r="D2820" s="191"/>
      <c r="E2820" s="405"/>
      <c r="F2820" s="20"/>
      <c r="G2820" s="838"/>
      <c r="H2820" s="754"/>
      <c r="I2820" s="20"/>
      <c r="J2820" s="20" t="s">
        <v>536</v>
      </c>
      <c r="K2820" s="405">
        <f>AVERAGE(K2818:K2819)</f>
        <v>7293</v>
      </c>
      <c r="L2820" s="20" t="s">
        <v>11</v>
      </c>
      <c r="M2820" s="502"/>
      <c r="N2820" s="502"/>
      <c r="O2820" s="27"/>
      <c r="P2820" s="50"/>
      <c r="Q2820" s="50"/>
      <c r="R2820" s="50"/>
      <c r="S2820" s="212"/>
      <c r="T2820" s="212"/>
    </row>
    <row r="2821" spans="1:21" ht="30" customHeight="1" x14ac:dyDescent="0.25">
      <c r="A2821" s="61"/>
      <c r="B2821" s="410"/>
      <c r="C2821" s="410"/>
      <c r="D2821" s="410"/>
      <c r="E2821" s="405"/>
      <c r="F2821" s="338" t="s">
        <v>533</v>
      </c>
      <c r="G2821" s="339" t="s">
        <v>534</v>
      </c>
      <c r="H2821" s="339"/>
      <c r="I2821" s="339"/>
      <c r="J2821" s="339"/>
      <c r="K2821" s="340">
        <v>1.07</v>
      </c>
      <c r="L2821" s="10"/>
      <c r="M2821" s="341"/>
      <c r="P2821" s="43"/>
      <c r="Q2821" s="43"/>
      <c r="R2821" s="43"/>
      <c r="S2821" s="60"/>
      <c r="T2821" s="60"/>
    </row>
    <row r="2822" spans="1:21" ht="30" customHeight="1" x14ac:dyDescent="0.25">
      <c r="A2822" s="61"/>
      <c r="B2822" s="410"/>
      <c r="C2822" s="410"/>
      <c r="D2822" s="410"/>
      <c r="E2822" s="405"/>
      <c r="F2822" s="343"/>
      <c r="G2822" s="344" t="s">
        <v>535</v>
      </c>
      <c r="H2822" s="344"/>
      <c r="I2822" s="344"/>
      <c r="J2822" s="344"/>
      <c r="K2822" s="340">
        <v>1.02</v>
      </c>
      <c r="L2822" s="10"/>
      <c r="O2822" s="42"/>
      <c r="P2822" s="41"/>
      <c r="Q2822" s="41"/>
      <c r="R2822" s="41"/>
      <c r="S2822" s="41"/>
      <c r="T2822" s="41"/>
      <c r="U2822" s="43"/>
    </row>
    <row r="2823" spans="1:21" ht="30" customHeight="1" x14ac:dyDescent="0.25">
      <c r="A2823" s="61"/>
      <c r="B2823" s="20"/>
      <c r="C2823" s="18"/>
      <c r="D2823" s="18"/>
      <c r="E2823" s="18"/>
      <c r="F2823" s="18"/>
      <c r="G2823" s="18"/>
      <c r="H2823" s="18"/>
      <c r="I2823" s="18"/>
      <c r="J2823" s="20" t="s">
        <v>358</v>
      </c>
      <c r="K2823" s="23">
        <f>+K2820*K2821/K2822</f>
        <v>7650.5</v>
      </c>
      <c r="L2823" s="20" t="s">
        <v>11</v>
      </c>
      <c r="M2823" s="43"/>
      <c r="U2823" s="43"/>
    </row>
    <row r="2824" spans="1:21" s="41" customFormat="1" ht="30" customHeight="1" thickBot="1" x14ac:dyDescent="0.3">
      <c r="A2824" s="61"/>
      <c r="B2824" s="20"/>
      <c r="C2824" s="18"/>
      <c r="D2824" s="18"/>
      <c r="E2824" s="18"/>
      <c r="F2824" s="18"/>
      <c r="G2824" s="413" t="s">
        <v>537</v>
      </c>
      <c r="H2824" s="18"/>
      <c r="I2824" s="18"/>
      <c r="J2824" s="361">
        <f>VLOOKUP(B2816,'Mil Cost Premiums for RUCs'!$A$4:$R$265,18,FALSE)</f>
        <v>1.0209999999999999</v>
      </c>
      <c r="K2824" s="23">
        <f>+K2823*J2824</f>
        <v>7811.160499999999</v>
      </c>
      <c r="L2824" s="20" t="s">
        <v>11</v>
      </c>
      <c r="M2824" s="25"/>
      <c r="N2824" s="342"/>
      <c r="O2824" s="27"/>
      <c r="P2824"/>
      <c r="Q2824"/>
      <c r="R2824"/>
      <c r="S2824"/>
      <c r="T2824"/>
    </row>
    <row r="2825" spans="1:21" s="49" customFormat="1" ht="30" customHeight="1" thickBot="1" x14ac:dyDescent="0.3">
      <c r="A2825" s="76"/>
      <c r="B2825" s="77"/>
      <c r="C2825" s="77"/>
      <c r="D2825" s="77"/>
      <c r="E2825" s="77"/>
      <c r="F2825" s="77"/>
      <c r="G2825" s="77"/>
      <c r="H2825" s="77"/>
      <c r="I2825" s="77"/>
      <c r="J2825" s="77"/>
      <c r="K2825" s="77"/>
      <c r="L2825" s="78"/>
      <c r="M2825" s="502"/>
      <c r="N2825" s="502"/>
      <c r="O2825" s="27"/>
      <c r="P2825" s="50"/>
      <c r="Q2825" s="50"/>
      <c r="R2825" s="50"/>
      <c r="S2825" s="212"/>
      <c r="T2825" s="212"/>
    </row>
    <row r="2826" spans="1:21" ht="30" customHeight="1" x14ac:dyDescent="0.25">
      <c r="A2826" s="207" t="s">
        <v>288</v>
      </c>
      <c r="B2826" s="208">
        <v>7110</v>
      </c>
      <c r="C2826" s="282" t="s">
        <v>1976</v>
      </c>
      <c r="D2826" s="283"/>
      <c r="E2826" s="177" t="s">
        <v>291</v>
      </c>
      <c r="F2826" s="178" t="s">
        <v>9</v>
      </c>
      <c r="G2826" s="123" t="s">
        <v>375</v>
      </c>
      <c r="H2826" s="302">
        <v>2554</v>
      </c>
      <c r="I2826" s="177" t="s">
        <v>292</v>
      </c>
      <c r="J2826" s="38" t="s">
        <v>623</v>
      </c>
      <c r="K2826" s="39"/>
      <c r="L2826" s="40"/>
      <c r="M2826" s="1930"/>
      <c r="N2826" s="1931"/>
      <c r="P2826" s="43"/>
      <c r="Q2826" s="43"/>
      <c r="R2826" s="43"/>
      <c r="S2826" s="60"/>
      <c r="T2826" s="60"/>
    </row>
    <row r="2827" spans="1:21" ht="30" customHeight="1" x14ac:dyDescent="0.25">
      <c r="A2827" s="181" t="s">
        <v>517</v>
      </c>
      <c r="B2827" s="180" t="s">
        <v>295</v>
      </c>
      <c r="C2827" s="180"/>
      <c r="D2827" s="180"/>
      <c r="E2827" s="46" t="s">
        <v>518</v>
      </c>
      <c r="F2827" s="285" t="s">
        <v>519</v>
      </c>
      <c r="G2827" s="181"/>
      <c r="H2827" s="181"/>
      <c r="I2827" s="286" t="s">
        <v>520</v>
      </c>
      <c r="J2827" s="287"/>
      <c r="K2827" s="288" t="s">
        <v>521</v>
      </c>
      <c r="L2827" s="289"/>
      <c r="M2827" s="1930"/>
      <c r="N2827" s="1931"/>
      <c r="P2827" s="43"/>
      <c r="Q2827" s="43"/>
      <c r="R2827" s="43"/>
      <c r="S2827" s="60"/>
      <c r="T2827" s="60"/>
      <c r="U2827" s="43"/>
    </row>
    <row r="2828" spans="1:21" ht="30" customHeight="1" x14ac:dyDescent="0.25">
      <c r="A2828" s="20">
        <v>71111</v>
      </c>
      <c r="B2828" s="503" t="s">
        <v>1977</v>
      </c>
      <c r="C2828" s="504"/>
      <c r="D2828" s="505"/>
      <c r="E2828" s="729">
        <v>3330</v>
      </c>
      <c r="F2828" s="405">
        <v>214.2</v>
      </c>
      <c r="G2828" s="1125"/>
      <c r="H2828" s="1126"/>
      <c r="I2828" s="726">
        <f>+'MILCON Inflation Table'!F17</f>
        <v>0.9432470865927236</v>
      </c>
      <c r="J2828" s="727"/>
      <c r="K2828" s="728">
        <f t="shared" ref="K2828:K2834" si="51">+F2828*I2828</f>
        <v>202.04352594816137</v>
      </c>
      <c r="L2828" s="20" t="s">
        <v>9</v>
      </c>
      <c r="M2828" s="43"/>
      <c r="O2828" s="42"/>
      <c r="P2828" s="41"/>
      <c r="Q2828" s="41"/>
      <c r="R2828" s="41"/>
      <c r="S2828" s="41"/>
      <c r="T2828" s="41"/>
      <c r="U2828" s="43"/>
    </row>
    <row r="2829" spans="1:21" ht="30" customHeight="1" x14ac:dyDescent="0.25">
      <c r="A2829" s="20">
        <v>71112</v>
      </c>
      <c r="B2829" s="503" t="s">
        <v>1978</v>
      </c>
      <c r="C2829" s="504"/>
      <c r="D2829" s="505"/>
      <c r="E2829" s="729">
        <v>2920</v>
      </c>
      <c r="F2829" s="405">
        <v>210</v>
      </c>
      <c r="G2829" s="1125"/>
      <c r="H2829" s="1126"/>
      <c r="I2829" s="726">
        <f>+'MILCON Inflation Table'!F17</f>
        <v>0.9432470865927236</v>
      </c>
      <c r="J2829" s="727"/>
      <c r="K2829" s="728">
        <f t="shared" si="51"/>
        <v>198.08188818447195</v>
      </c>
      <c r="L2829" s="20" t="s">
        <v>9</v>
      </c>
      <c r="M2829" s="1929"/>
      <c r="N2829" s="1866"/>
      <c r="O2829" s="42"/>
      <c r="P2829" s="41"/>
      <c r="Q2829" s="41"/>
      <c r="R2829" s="41"/>
      <c r="S2829" s="41"/>
      <c r="T2829" s="41"/>
      <c r="U2829" s="43"/>
    </row>
    <row r="2830" spans="1:21" s="49" customFormat="1" ht="30" customHeight="1" x14ac:dyDescent="0.25">
      <c r="A2830" s="20">
        <v>71113</v>
      </c>
      <c r="B2830" s="402" t="s">
        <v>1979</v>
      </c>
      <c r="C2830" s="403"/>
      <c r="D2830" s="404"/>
      <c r="E2830" s="729">
        <v>2310</v>
      </c>
      <c r="F2830" s="405">
        <v>198.29</v>
      </c>
      <c r="G2830" s="1125"/>
      <c r="H2830" s="1126"/>
      <c r="I2830" s="726">
        <f>+'MILCON Inflation Table'!F17</f>
        <v>0.9432470865927236</v>
      </c>
      <c r="J2830" s="727"/>
      <c r="K2830" s="728">
        <f t="shared" si="51"/>
        <v>187.03646480047115</v>
      </c>
      <c r="L2830" s="20" t="s">
        <v>9</v>
      </c>
      <c r="M2830" s="502"/>
      <c r="N2830" s="1894"/>
      <c r="O2830" s="27"/>
    </row>
    <row r="2831" spans="1:21" s="41" customFormat="1" ht="30" customHeight="1" x14ac:dyDescent="0.25">
      <c r="A2831" s="20">
        <v>71114</v>
      </c>
      <c r="B2831" s="402" t="s">
        <v>1980</v>
      </c>
      <c r="C2831" s="403"/>
      <c r="D2831" s="404"/>
      <c r="E2831" s="729">
        <v>2150</v>
      </c>
      <c r="F2831" s="405">
        <v>179.32</v>
      </c>
      <c r="G2831" s="1125"/>
      <c r="H2831" s="1126"/>
      <c r="I2831" s="726">
        <f>+'MILCON Inflation Table'!F17</f>
        <v>0.9432470865927236</v>
      </c>
      <c r="J2831" s="727"/>
      <c r="K2831" s="728">
        <f t="shared" si="51"/>
        <v>169.14306756780718</v>
      </c>
      <c r="L2831" s="20" t="s">
        <v>9</v>
      </c>
      <c r="M2831" s="25"/>
      <c r="N2831" s="1919"/>
      <c r="O2831" s="27"/>
      <c r="P2831"/>
      <c r="Q2831"/>
      <c r="R2831"/>
      <c r="S2831"/>
      <c r="T2831"/>
    </row>
    <row r="2832" spans="1:21" ht="30" customHeight="1" x14ac:dyDescent="0.25">
      <c r="A2832" s="20">
        <v>71115</v>
      </c>
      <c r="B2832" s="503" t="s">
        <v>1981</v>
      </c>
      <c r="C2832" s="504"/>
      <c r="D2832" s="505"/>
      <c r="E2832" s="729">
        <v>2020</v>
      </c>
      <c r="F2832" s="405">
        <v>199.51</v>
      </c>
      <c r="G2832" s="1125"/>
      <c r="H2832" s="1126"/>
      <c r="I2832" s="726">
        <f>+'MILCON Inflation Table'!F17</f>
        <v>0.9432470865927236</v>
      </c>
      <c r="J2832" s="727"/>
      <c r="K2832" s="728">
        <f t="shared" si="51"/>
        <v>188.18722624611428</v>
      </c>
      <c r="L2832" s="20" t="s">
        <v>9</v>
      </c>
      <c r="M2832" s="341"/>
      <c r="P2832" s="43"/>
      <c r="Q2832" s="43"/>
      <c r="R2832" s="43"/>
      <c r="S2832" s="60"/>
      <c r="T2832" s="60"/>
    </row>
    <row r="2833" spans="1:21" ht="30" customHeight="1" x14ac:dyDescent="0.25">
      <c r="A2833" s="20">
        <v>71115</v>
      </c>
      <c r="B2833" s="503" t="s">
        <v>1982</v>
      </c>
      <c r="C2833" s="504"/>
      <c r="D2833" s="505"/>
      <c r="E2833" s="729">
        <v>1860</v>
      </c>
      <c r="F2833" s="405">
        <v>179.32</v>
      </c>
      <c r="G2833" s="1125"/>
      <c r="H2833" s="1126"/>
      <c r="I2833" s="726">
        <f>+'MILCON Inflation Table'!F17</f>
        <v>0.9432470865927236</v>
      </c>
      <c r="J2833" s="727"/>
      <c r="K2833" s="728">
        <f t="shared" si="51"/>
        <v>169.14306756780718</v>
      </c>
      <c r="L2833" s="20" t="s">
        <v>9</v>
      </c>
      <c r="M2833" s="341"/>
      <c r="P2833" s="43"/>
      <c r="Q2833" s="43"/>
      <c r="R2833" s="43"/>
      <c r="S2833" s="60"/>
      <c r="T2833" s="60"/>
    </row>
    <row r="2834" spans="1:21" ht="30" customHeight="1" x14ac:dyDescent="0.25">
      <c r="A2834" s="20">
        <v>71116</v>
      </c>
      <c r="B2834" s="503" t="s">
        <v>1983</v>
      </c>
      <c r="C2834" s="504"/>
      <c r="D2834" s="505"/>
      <c r="E2834" s="729">
        <v>1950</v>
      </c>
      <c r="F2834" s="405">
        <v>183.6</v>
      </c>
      <c r="G2834" s="1125"/>
      <c r="H2834" s="1126"/>
      <c r="I2834" s="726">
        <f>+'MILCON Inflation Table'!F17</f>
        <v>0.9432470865927236</v>
      </c>
      <c r="J2834" s="727"/>
      <c r="K2834" s="728">
        <f t="shared" si="51"/>
        <v>173.18016509842406</v>
      </c>
      <c r="L2834" s="20" t="s">
        <v>9</v>
      </c>
      <c r="O2834"/>
      <c r="P2834" s="412"/>
      <c r="Q2834" s="391"/>
      <c r="R2834" s="393"/>
    </row>
    <row r="2835" spans="1:21" ht="30" customHeight="1" thickBot="1" x14ac:dyDescent="0.3">
      <c r="A2835" s="20"/>
      <c r="B2835" s="523"/>
      <c r="C2835" s="524"/>
      <c r="D2835" s="407" t="s">
        <v>3408</v>
      </c>
      <c r="E2835" s="519">
        <f>AVERAGE(E2828:E2834)</f>
        <v>2362.8571428571427</v>
      </c>
      <c r="F2835" s="520"/>
      <c r="G2835" s="520"/>
      <c r="H2835" s="521"/>
      <c r="I2835" s="63"/>
      <c r="J2835" s="48" t="s">
        <v>358</v>
      </c>
      <c r="K2835" s="301">
        <f>AVERAGE(K2828:K2834)</f>
        <v>183.83077220189389</v>
      </c>
      <c r="L2835" s="61" t="s">
        <v>9</v>
      </c>
      <c r="M2835" s="43"/>
      <c r="O2835"/>
      <c r="P2835" s="412"/>
      <c r="Q2835" s="391"/>
      <c r="R2835" s="393"/>
    </row>
    <row r="2836" spans="1:21" ht="30" customHeight="1" thickBot="1" x14ac:dyDescent="0.3">
      <c r="A2836" s="76"/>
      <c r="B2836" s="77"/>
      <c r="C2836" s="77"/>
      <c r="D2836" s="77"/>
      <c r="E2836" s="77"/>
      <c r="F2836" s="77"/>
      <c r="G2836" s="77"/>
      <c r="H2836" s="77"/>
      <c r="I2836" s="77"/>
      <c r="J2836" s="77"/>
      <c r="K2836" s="77"/>
      <c r="L2836" s="78"/>
      <c r="M2836" s="419"/>
      <c r="N2836" s="420"/>
      <c r="O2836"/>
      <c r="P2836" s="412"/>
      <c r="Q2836" s="391"/>
      <c r="R2836" s="393"/>
    </row>
    <row r="2837" spans="1:21" s="49" customFormat="1" ht="30" customHeight="1" x14ac:dyDescent="0.25">
      <c r="A2837" s="30" t="s">
        <v>288</v>
      </c>
      <c r="B2837" s="208">
        <v>7120</v>
      </c>
      <c r="C2837" s="209" t="s">
        <v>1984</v>
      </c>
      <c r="D2837" s="210"/>
      <c r="E2837" s="177" t="s">
        <v>291</v>
      </c>
      <c r="F2837" s="178" t="s">
        <v>9</v>
      </c>
      <c r="G2837" s="123" t="s">
        <v>375</v>
      </c>
      <c r="H2837" s="388">
        <v>403</v>
      </c>
      <c r="I2837" s="177" t="s">
        <v>292</v>
      </c>
      <c r="J2837" s="38" t="s">
        <v>883</v>
      </c>
      <c r="K2837" s="38"/>
      <c r="L2837" s="389"/>
      <c r="M2837" s="425"/>
      <c r="N2837" s="420"/>
      <c r="P2837" s="412"/>
      <c r="Q2837" s="391"/>
      <c r="R2837" s="393"/>
    </row>
    <row r="2838" spans="1:21" ht="30" customHeight="1" x14ac:dyDescent="0.25">
      <c r="A2838" s="48" t="s">
        <v>529</v>
      </c>
      <c r="B2838" s="394" t="s">
        <v>560</v>
      </c>
      <c r="C2838" s="395"/>
      <c r="D2838" s="396"/>
      <c r="E2838" s="397" t="s">
        <v>519</v>
      </c>
      <c r="F2838" s="397" t="s">
        <v>561</v>
      </c>
      <c r="G2838" s="398" t="s">
        <v>562</v>
      </c>
      <c r="H2838" s="399"/>
      <c r="I2838" s="181" t="s">
        <v>530</v>
      </c>
      <c r="J2838" s="181"/>
      <c r="K2838" s="288" t="s">
        <v>521</v>
      </c>
      <c r="L2838" s="289"/>
      <c r="M2838" s="419"/>
      <c r="N2838" s="420"/>
      <c r="O2838"/>
      <c r="P2838" s="412"/>
      <c r="Q2838" s="391"/>
      <c r="R2838" s="393"/>
    </row>
    <row r="2839" spans="1:21" ht="30" customHeight="1" x14ac:dyDescent="0.25">
      <c r="A2839" s="61" t="s">
        <v>1985</v>
      </c>
      <c r="B2839" s="186" t="s">
        <v>1986</v>
      </c>
      <c r="C2839" s="186"/>
      <c r="D2839" s="186"/>
      <c r="E2839" s="405">
        <v>54.5</v>
      </c>
      <c r="F2839" s="20" t="s">
        <v>9</v>
      </c>
      <c r="G2839" s="20"/>
      <c r="H2839" s="20"/>
      <c r="I2839" s="20">
        <v>1.04</v>
      </c>
      <c r="J2839" s="20"/>
      <c r="K2839" s="405">
        <f>+E2839*I2839</f>
        <v>56.68</v>
      </c>
      <c r="L2839" s="20" t="s">
        <v>9</v>
      </c>
      <c r="M2839" s="419"/>
      <c r="N2839" s="420"/>
      <c r="O2839"/>
      <c r="P2839" s="412"/>
      <c r="Q2839" s="391"/>
      <c r="R2839" s="393"/>
    </row>
    <row r="2840" spans="1:21" ht="30" customHeight="1" x14ac:dyDescent="0.25">
      <c r="A2840" s="1299"/>
      <c r="B2840" s="186"/>
      <c r="C2840" s="186"/>
      <c r="D2840" s="186"/>
      <c r="E2840" s="405"/>
      <c r="F2840" s="20"/>
      <c r="G2840" s="522"/>
      <c r="H2840" s="20"/>
      <c r="I2840" s="20"/>
      <c r="J2840" s="20" t="s">
        <v>578</v>
      </c>
      <c r="K2840" s="405">
        <f>SUM(K2839:K2839)</f>
        <v>56.68</v>
      </c>
      <c r="L2840" s="20" t="s">
        <v>9</v>
      </c>
      <c r="M2840" s="419"/>
      <c r="N2840" s="420"/>
      <c r="O2840"/>
      <c r="P2840" s="412"/>
      <c r="Q2840" s="391"/>
      <c r="R2840" s="393"/>
    </row>
    <row r="2841" spans="1:21" ht="30" customHeight="1" x14ac:dyDescent="0.25">
      <c r="A2841" s="61"/>
      <c r="B2841" s="410"/>
      <c r="C2841" s="410"/>
      <c r="D2841" s="410"/>
      <c r="E2841" s="405"/>
      <c r="F2841" s="338" t="s">
        <v>533</v>
      </c>
      <c r="G2841" s="339" t="s">
        <v>534</v>
      </c>
      <c r="H2841" s="339"/>
      <c r="I2841" s="339"/>
      <c r="J2841" s="339"/>
      <c r="K2841" s="340">
        <v>1.07</v>
      </c>
      <c r="L2841" s="10"/>
      <c r="M2841" s="670"/>
      <c r="N2841" s="671"/>
      <c r="O2841" s="43"/>
      <c r="P2841" s="672"/>
      <c r="Q2841" s="671"/>
      <c r="R2841" s="673"/>
    </row>
    <row r="2842" spans="1:21" ht="30" customHeight="1" x14ac:dyDescent="0.25">
      <c r="A2842" s="61"/>
      <c r="B2842" s="410"/>
      <c r="C2842" s="410"/>
      <c r="D2842" s="410"/>
      <c r="E2842" s="405"/>
      <c r="F2842" s="343"/>
      <c r="G2842" s="344" t="s">
        <v>535</v>
      </c>
      <c r="H2842" s="344"/>
      <c r="I2842" s="344"/>
      <c r="J2842" s="344"/>
      <c r="K2842" s="340">
        <v>1.02</v>
      </c>
      <c r="L2842" s="10"/>
      <c r="M2842" s="670"/>
      <c r="N2842" s="671"/>
      <c r="O2842" s="43"/>
      <c r="P2842" s="672"/>
      <c r="Q2842" s="671"/>
      <c r="R2842" s="673"/>
    </row>
    <row r="2843" spans="1:21" ht="30" customHeight="1" x14ac:dyDescent="0.25">
      <c r="A2843" s="61"/>
      <c r="B2843" s="20"/>
      <c r="C2843" s="18"/>
      <c r="D2843" s="18"/>
      <c r="E2843" s="18"/>
      <c r="F2843" s="18"/>
      <c r="G2843" s="18"/>
      <c r="H2843" s="18"/>
      <c r="I2843" s="18"/>
      <c r="J2843" s="20" t="s">
        <v>358</v>
      </c>
      <c r="K2843" s="23">
        <f>+K2840*K2841/K2842</f>
        <v>59.458431372549022</v>
      </c>
      <c r="L2843" s="20" t="s">
        <v>9</v>
      </c>
      <c r="M2843" s="419"/>
      <c r="N2843" s="420"/>
      <c r="O2843"/>
      <c r="P2843" s="412"/>
      <c r="Q2843" s="391"/>
      <c r="R2843" s="393"/>
    </row>
    <row r="2844" spans="1:21" ht="30" customHeight="1" thickBot="1" x14ac:dyDescent="0.3">
      <c r="A2844" s="61"/>
      <c r="B2844" s="20"/>
      <c r="C2844" s="18"/>
      <c r="D2844" s="18"/>
      <c r="E2844" s="18"/>
      <c r="F2844" s="18"/>
      <c r="G2844" s="413" t="s">
        <v>537</v>
      </c>
      <c r="H2844" s="18"/>
      <c r="I2844" s="18"/>
      <c r="J2844" s="361">
        <f>VLOOKUP(B2837,'Mil Cost Premiums for RUCs'!$A$4:$R$265,18,FALSE)</f>
        <v>1.0209999999999999</v>
      </c>
      <c r="K2844" s="23">
        <f>+K2843*J2844</f>
        <v>60.707058431372545</v>
      </c>
      <c r="L2844" s="20" t="s">
        <v>9</v>
      </c>
      <c r="M2844" s="419"/>
      <c r="N2844" s="420"/>
      <c r="O2844" s="42"/>
      <c r="P2844" s="41"/>
      <c r="Q2844" s="41"/>
      <c r="R2844" s="41"/>
      <c r="S2844" s="41"/>
      <c r="T2844" s="41"/>
      <c r="U2844" s="43"/>
    </row>
    <row r="2845" spans="1:21" ht="30" customHeight="1" thickBot="1" x14ac:dyDescent="0.3">
      <c r="A2845" s="76"/>
      <c r="B2845" s="77"/>
      <c r="C2845" s="77"/>
      <c r="D2845" s="77"/>
      <c r="E2845" s="77"/>
      <c r="F2845" s="77"/>
      <c r="G2845" s="77"/>
      <c r="H2845" s="77"/>
      <c r="I2845" s="77"/>
      <c r="J2845" s="77"/>
      <c r="K2845" s="77"/>
      <c r="L2845" s="78"/>
      <c r="M2845" s="419"/>
      <c r="N2845" s="1913"/>
      <c r="O2845" s="42"/>
      <c r="P2845" s="41"/>
      <c r="Q2845" s="41"/>
      <c r="R2845" s="41"/>
      <c r="S2845" s="41"/>
      <c r="T2845" s="41"/>
      <c r="U2845" s="43"/>
    </row>
    <row r="2846" spans="1:21" s="41" customFormat="1" ht="30" customHeight="1" x14ac:dyDescent="0.25">
      <c r="A2846" s="30" t="s">
        <v>288</v>
      </c>
      <c r="B2846" s="208">
        <v>7130</v>
      </c>
      <c r="C2846" s="209" t="s">
        <v>1987</v>
      </c>
      <c r="D2846" s="210"/>
      <c r="E2846" s="177" t="s">
        <v>291</v>
      </c>
      <c r="F2846" s="178" t="s">
        <v>3</v>
      </c>
      <c r="G2846" s="465" t="s">
        <v>290</v>
      </c>
      <c r="H2846" s="539">
        <v>2206</v>
      </c>
      <c r="I2846" s="177" t="s">
        <v>292</v>
      </c>
      <c r="J2846" s="38" t="s">
        <v>883</v>
      </c>
      <c r="K2846" s="38"/>
      <c r="L2846" s="389"/>
      <c r="M2846" s="341"/>
      <c r="N2846" s="341"/>
      <c r="O2846" s="42"/>
    </row>
    <row r="2847" spans="1:21" s="49" customFormat="1" ht="30" customHeight="1" x14ac:dyDescent="0.25">
      <c r="A2847" s="48" t="s">
        <v>529</v>
      </c>
      <c r="B2847" s="394" t="s">
        <v>560</v>
      </c>
      <c r="C2847" s="395"/>
      <c r="D2847" s="396"/>
      <c r="E2847" s="397" t="s">
        <v>519</v>
      </c>
      <c r="F2847" s="397" t="s">
        <v>561</v>
      </c>
      <c r="G2847" s="398" t="s">
        <v>562</v>
      </c>
      <c r="H2847" s="399"/>
      <c r="I2847" s="181" t="s">
        <v>530</v>
      </c>
      <c r="J2847" s="181" t="s">
        <v>3410</v>
      </c>
      <c r="K2847" s="288" t="s">
        <v>521</v>
      </c>
      <c r="L2847" s="289"/>
      <c r="M2847" s="502"/>
      <c r="N2847" s="502"/>
      <c r="O2847" s="27"/>
    </row>
    <row r="2848" spans="1:21" s="41" customFormat="1" ht="30" customHeight="1" x14ac:dyDescent="0.25">
      <c r="A2848" s="61" t="s">
        <v>1988</v>
      </c>
      <c r="B2848" s="402" t="s">
        <v>1989</v>
      </c>
      <c r="C2848" s="403"/>
      <c r="D2848" s="404"/>
      <c r="E2848" s="405">
        <v>11000</v>
      </c>
      <c r="F2848" s="22" t="s">
        <v>11</v>
      </c>
      <c r="G2848" s="1112">
        <v>356</v>
      </c>
      <c r="H2848" s="758" t="s">
        <v>1990</v>
      </c>
      <c r="I2848" s="20">
        <v>1.02</v>
      </c>
      <c r="J2848" s="751">
        <v>1.1000000000000001</v>
      </c>
      <c r="K2848" s="405">
        <f>+E2848/G2848*I2848*J2848</f>
        <v>34.668539325842701</v>
      </c>
      <c r="L2848" s="20" t="s">
        <v>3</v>
      </c>
      <c r="M2848" s="1368"/>
      <c r="N2848" s="1310"/>
      <c r="O2848" s="42"/>
    </row>
    <row r="2849" spans="1:20" s="41" customFormat="1" ht="30" customHeight="1" x14ac:dyDescent="0.25">
      <c r="A2849" s="61"/>
      <c r="B2849" s="191" t="s">
        <v>1991</v>
      </c>
      <c r="C2849" s="191"/>
      <c r="D2849" s="191"/>
      <c r="E2849" s="405"/>
      <c r="F2849" s="20"/>
      <c r="G2849" s="20"/>
      <c r="H2849" s="20"/>
      <c r="I2849" s="20"/>
      <c r="J2849" s="20"/>
      <c r="K2849" s="405"/>
      <c r="L2849" s="20"/>
      <c r="M2849" s="419"/>
      <c r="N2849" s="420"/>
      <c r="O2849" s="42"/>
    </row>
    <row r="2850" spans="1:20" s="41" customFormat="1" ht="30" customHeight="1" x14ac:dyDescent="0.25">
      <c r="A2850" s="61"/>
      <c r="B2850" s="410"/>
      <c r="C2850" s="410"/>
      <c r="D2850" s="410"/>
      <c r="E2850" s="405"/>
      <c r="F2850" s="338" t="s">
        <v>533</v>
      </c>
      <c r="G2850" s="339" t="s">
        <v>534</v>
      </c>
      <c r="H2850" s="339"/>
      <c r="I2850" s="339"/>
      <c r="J2850" s="339"/>
      <c r="K2850" s="340">
        <v>1.07</v>
      </c>
      <c r="L2850" s="10"/>
      <c r="M2850" s="425"/>
      <c r="N2850" s="420"/>
      <c r="O2850" s="42"/>
    </row>
    <row r="2851" spans="1:20" s="41" customFormat="1" ht="30" customHeight="1" x14ac:dyDescent="0.25">
      <c r="A2851" s="61"/>
      <c r="B2851" s="410"/>
      <c r="C2851" s="410"/>
      <c r="D2851" s="410"/>
      <c r="E2851" s="405"/>
      <c r="F2851" s="343"/>
      <c r="G2851" s="344" t="s">
        <v>535</v>
      </c>
      <c r="H2851" s="344"/>
      <c r="I2851" s="344"/>
      <c r="J2851" s="344"/>
      <c r="K2851" s="340">
        <v>1.02</v>
      </c>
      <c r="L2851" s="10"/>
      <c r="M2851" s="419"/>
      <c r="N2851" s="420"/>
      <c r="O2851" s="42"/>
    </row>
    <row r="2852" spans="1:20" s="41" customFormat="1" ht="30" customHeight="1" x14ac:dyDescent="0.25">
      <c r="A2852" s="1299"/>
      <c r="B2852" s="20"/>
      <c r="C2852" s="18"/>
      <c r="D2852" s="18"/>
      <c r="E2852" s="405"/>
      <c r="F2852" s="20"/>
      <c r="G2852" s="522"/>
      <c r="H2852" s="20"/>
      <c r="I2852" s="20"/>
      <c r="J2852" s="20" t="s">
        <v>358</v>
      </c>
      <c r="K2852" s="23">
        <f>+K2848*K2850/K2851</f>
        <v>36.367977528089895</v>
      </c>
      <c r="L2852" s="20" t="s">
        <v>3</v>
      </c>
      <c r="M2852" s="341"/>
      <c r="N2852" s="341"/>
      <c r="O2852" s="42"/>
    </row>
    <row r="2853" spans="1:20" s="41" customFormat="1" ht="30" customHeight="1" thickBot="1" x14ac:dyDescent="0.3">
      <c r="A2853" s="61"/>
      <c r="B2853" s="20"/>
      <c r="C2853" s="18"/>
      <c r="D2853" s="18"/>
      <c r="E2853" s="18"/>
      <c r="F2853" s="18"/>
      <c r="G2853" s="413" t="s">
        <v>537</v>
      </c>
      <c r="H2853" s="18"/>
      <c r="I2853" s="18"/>
      <c r="J2853" s="361">
        <f>VLOOKUP(B2846,'Mil Cost Premiums for RUCs'!$A$4:$R$265,18,FALSE)</f>
        <v>1.0209999999999999</v>
      </c>
      <c r="K2853" s="23">
        <f>+K2852*J2853</f>
        <v>37.131705056179783</v>
      </c>
      <c r="L2853" s="20" t="s">
        <v>3</v>
      </c>
      <c r="M2853" s="341"/>
      <c r="N2853" s="342"/>
      <c r="O2853" s="42"/>
    </row>
    <row r="2854" spans="1:20" s="41" customFormat="1" ht="30" customHeight="1" thickBot="1" x14ac:dyDescent="0.3">
      <c r="A2854" s="76"/>
      <c r="B2854" s="77"/>
      <c r="C2854" s="77"/>
      <c r="D2854" s="77"/>
      <c r="E2854" s="77"/>
      <c r="F2854" s="77"/>
      <c r="G2854" s="77"/>
      <c r="H2854" s="77"/>
      <c r="I2854" s="77"/>
      <c r="J2854" s="77"/>
      <c r="K2854" s="77"/>
      <c r="L2854" s="78"/>
      <c r="M2854" s="341"/>
      <c r="N2854" s="342"/>
      <c r="O2854" s="27"/>
      <c r="P2854"/>
      <c r="Q2854"/>
      <c r="R2854"/>
      <c r="S2854"/>
      <c r="T2854"/>
    </row>
    <row r="2855" spans="1:20" s="41" customFormat="1" ht="30" customHeight="1" x14ac:dyDescent="0.25">
      <c r="A2855" s="30" t="s">
        <v>288</v>
      </c>
      <c r="B2855" s="208">
        <v>7141</v>
      </c>
      <c r="C2855" s="209" t="s">
        <v>1992</v>
      </c>
      <c r="D2855" s="210"/>
      <c r="E2855" s="1322" t="s">
        <v>291</v>
      </c>
      <c r="F2855" s="1323" t="s">
        <v>9</v>
      </c>
      <c r="G2855" s="123" t="s">
        <v>375</v>
      </c>
      <c r="H2855" s="1324">
        <v>543</v>
      </c>
      <c r="I2855" s="177" t="s">
        <v>292</v>
      </c>
      <c r="J2855" s="38" t="s">
        <v>883</v>
      </c>
      <c r="K2855" s="38"/>
      <c r="L2855" s="389"/>
      <c r="M2855" s="341"/>
      <c r="N2855" s="342"/>
      <c r="O2855" s="27"/>
      <c r="P2855"/>
      <c r="Q2855"/>
      <c r="R2855"/>
      <c r="S2855"/>
      <c r="T2855"/>
    </row>
    <row r="2856" spans="1:20" s="41" customFormat="1" ht="30" customHeight="1" x14ac:dyDescent="0.25">
      <c r="A2856" s="48" t="s">
        <v>529</v>
      </c>
      <c r="B2856" s="394" t="s">
        <v>560</v>
      </c>
      <c r="C2856" s="395"/>
      <c r="D2856" s="396"/>
      <c r="E2856" s="397" t="s">
        <v>519</v>
      </c>
      <c r="F2856" s="397" t="s">
        <v>561</v>
      </c>
      <c r="G2856" s="398" t="s">
        <v>562</v>
      </c>
      <c r="H2856" s="399"/>
      <c r="I2856" s="181" t="s">
        <v>530</v>
      </c>
      <c r="J2856" s="181"/>
      <c r="K2856" s="288" t="s">
        <v>521</v>
      </c>
      <c r="L2856" s="289"/>
      <c r="M2856" s="341"/>
      <c r="N2856" s="25"/>
      <c r="O2856" s="27"/>
      <c r="P2856"/>
      <c r="Q2856"/>
      <c r="R2856"/>
      <c r="S2856"/>
      <c r="T2856"/>
    </row>
    <row r="2857" spans="1:20" ht="30" customHeight="1" x14ac:dyDescent="0.25">
      <c r="A2857" s="1299" t="s">
        <v>1993</v>
      </c>
      <c r="B2857" s="402" t="s">
        <v>1994</v>
      </c>
      <c r="C2857" s="403"/>
      <c r="D2857" s="404"/>
      <c r="E2857" s="405">
        <v>33.64</v>
      </c>
      <c r="F2857" s="20" t="s">
        <v>9</v>
      </c>
      <c r="G2857" s="522"/>
      <c r="H2857" s="20"/>
      <c r="I2857" s="20">
        <v>1.05</v>
      </c>
      <c r="J2857" s="20"/>
      <c r="K2857" s="405">
        <f>+E2857*I2857</f>
        <v>35.322000000000003</v>
      </c>
      <c r="L2857" s="20" t="s">
        <v>9</v>
      </c>
      <c r="O2857"/>
      <c r="P2857" s="412"/>
      <c r="Q2857" s="391"/>
      <c r="R2857" s="393"/>
    </row>
    <row r="2858" spans="1:20" ht="30" customHeight="1" x14ac:dyDescent="0.25">
      <c r="A2858" s="61"/>
      <c r="B2858" s="410"/>
      <c r="C2858" s="410"/>
      <c r="D2858" s="410"/>
      <c r="E2858" s="405"/>
      <c r="F2858" s="338" t="s">
        <v>533</v>
      </c>
      <c r="G2858" s="339" t="s">
        <v>534</v>
      </c>
      <c r="H2858" s="339"/>
      <c r="I2858" s="339"/>
      <c r="J2858" s="339"/>
      <c r="K2858" s="340">
        <v>1.07</v>
      </c>
      <c r="L2858" s="10"/>
      <c r="O2858"/>
      <c r="P2858" s="412"/>
      <c r="Q2858" s="391"/>
      <c r="R2858" s="393"/>
    </row>
    <row r="2859" spans="1:20" s="49" customFormat="1" ht="30" customHeight="1" x14ac:dyDescent="0.25">
      <c r="A2859" s="61"/>
      <c r="B2859" s="410"/>
      <c r="C2859" s="410"/>
      <c r="D2859" s="410"/>
      <c r="E2859" s="405"/>
      <c r="F2859" s="343"/>
      <c r="G2859" s="344" t="s">
        <v>535</v>
      </c>
      <c r="H2859" s="344"/>
      <c r="I2859" s="344"/>
      <c r="J2859" s="344"/>
      <c r="K2859" s="340">
        <v>1.02</v>
      </c>
      <c r="L2859" s="10"/>
      <c r="M2859" s="502"/>
      <c r="N2859" s="502"/>
      <c r="P2859" s="412"/>
      <c r="Q2859" s="391"/>
      <c r="R2859" s="393"/>
    </row>
    <row r="2860" spans="1:20" ht="30" customHeight="1" x14ac:dyDescent="0.25">
      <c r="A2860" s="61"/>
      <c r="B2860" s="20"/>
      <c r="C2860" s="18"/>
      <c r="D2860" s="18"/>
      <c r="E2860" s="18"/>
      <c r="F2860" s="18"/>
      <c r="G2860" s="18"/>
      <c r="H2860" s="18"/>
      <c r="I2860" s="18"/>
      <c r="J2860" s="20" t="s">
        <v>358</v>
      </c>
      <c r="K2860" s="23">
        <f>+K2857*K2858/K2859</f>
        <v>37.053470588235299</v>
      </c>
      <c r="L2860" s="20" t="s">
        <v>9</v>
      </c>
      <c r="O2860"/>
      <c r="P2860" s="412"/>
      <c r="Q2860" s="391"/>
      <c r="R2860" s="393"/>
    </row>
    <row r="2861" spans="1:20" ht="30" customHeight="1" thickBot="1" x14ac:dyDescent="0.3">
      <c r="A2861" s="61"/>
      <c r="B2861" s="20"/>
      <c r="C2861" s="18"/>
      <c r="D2861" s="18"/>
      <c r="E2861" s="18"/>
      <c r="F2861" s="18"/>
      <c r="G2861" s="413" t="s">
        <v>537</v>
      </c>
      <c r="H2861" s="18"/>
      <c r="I2861" s="18"/>
      <c r="J2861" s="361">
        <f>VLOOKUP(B2855,'Mil Cost Premiums for RUCs'!$A$4:$R$265,18,FALSE)</f>
        <v>1.0905505199999999</v>
      </c>
      <c r="K2861" s="23">
        <f>+K2860*J2861</f>
        <v>40.408681617804703</v>
      </c>
      <c r="L2861" s="20" t="s">
        <v>9</v>
      </c>
      <c r="O2861"/>
      <c r="P2861" s="412"/>
      <c r="Q2861" s="391"/>
      <c r="R2861" s="393"/>
    </row>
    <row r="2862" spans="1:20" ht="30" customHeight="1" thickBot="1" x14ac:dyDescent="0.3">
      <c r="A2862" s="76"/>
      <c r="B2862" s="77"/>
      <c r="C2862" s="77"/>
      <c r="D2862" s="77"/>
      <c r="E2862" s="77"/>
      <c r="F2862" s="77"/>
      <c r="G2862" s="77"/>
      <c r="H2862" s="77"/>
      <c r="I2862" s="77"/>
      <c r="J2862" s="77"/>
      <c r="K2862" s="77"/>
      <c r="L2862" s="78"/>
      <c r="M2862" s="670"/>
      <c r="N2862" s="671"/>
      <c r="O2862" s="43"/>
      <c r="P2862" s="672"/>
      <c r="Q2862" s="671"/>
      <c r="R2862" s="673"/>
    </row>
    <row r="2863" spans="1:20" ht="30" customHeight="1" x14ac:dyDescent="0.25">
      <c r="A2863" s="30" t="s">
        <v>288</v>
      </c>
      <c r="B2863" s="208">
        <v>7142</v>
      </c>
      <c r="C2863" s="209" t="s">
        <v>1995</v>
      </c>
      <c r="D2863" s="210"/>
      <c r="E2863" s="177" t="s">
        <v>291</v>
      </c>
      <c r="F2863" s="178" t="s">
        <v>9</v>
      </c>
      <c r="G2863" s="123" t="s">
        <v>375</v>
      </c>
      <c r="H2863" s="388">
        <v>346</v>
      </c>
      <c r="I2863" s="177" t="s">
        <v>292</v>
      </c>
      <c r="J2863" s="38" t="s">
        <v>883</v>
      </c>
      <c r="K2863" s="38"/>
      <c r="L2863" s="389"/>
      <c r="M2863" s="670"/>
      <c r="N2863" s="671"/>
      <c r="O2863" s="43"/>
      <c r="P2863" s="672"/>
      <c r="Q2863" s="671"/>
      <c r="R2863" s="673"/>
    </row>
    <row r="2864" spans="1:20" ht="30" customHeight="1" x14ac:dyDescent="0.25">
      <c r="A2864" s="48" t="s">
        <v>529</v>
      </c>
      <c r="B2864" s="394" t="s">
        <v>560</v>
      </c>
      <c r="C2864" s="395"/>
      <c r="D2864" s="396"/>
      <c r="E2864" s="397" t="s">
        <v>519</v>
      </c>
      <c r="F2864" s="397" t="s">
        <v>561</v>
      </c>
      <c r="G2864" s="398" t="s">
        <v>562</v>
      </c>
      <c r="H2864" s="399"/>
      <c r="I2864" s="181" t="s">
        <v>530</v>
      </c>
      <c r="J2864" s="181"/>
      <c r="K2864" s="288" t="s">
        <v>521</v>
      </c>
      <c r="L2864" s="289"/>
      <c r="M2864" s="419"/>
      <c r="N2864" s="420"/>
      <c r="O2864"/>
      <c r="P2864" s="392"/>
      <c r="Q2864" s="391"/>
      <c r="R2864" s="393"/>
    </row>
    <row r="2865" spans="1:18" ht="30" customHeight="1" x14ac:dyDescent="0.25">
      <c r="A2865" s="61" t="s">
        <v>1996</v>
      </c>
      <c r="B2865" s="503" t="s">
        <v>1997</v>
      </c>
      <c r="C2865" s="504"/>
      <c r="D2865" s="505"/>
      <c r="E2865" s="405">
        <f>+(12.65+22.85)/2</f>
        <v>17.75</v>
      </c>
      <c r="F2865" s="22" t="s">
        <v>9</v>
      </c>
      <c r="G2865" s="1112"/>
      <c r="H2865" s="758"/>
      <c r="I2865" s="20">
        <v>1.04</v>
      </c>
      <c r="J2865" s="20"/>
      <c r="K2865" s="405">
        <f>+E2865*I2865</f>
        <v>18.46</v>
      </c>
      <c r="L2865" s="20" t="s">
        <v>9</v>
      </c>
      <c r="M2865" s="419"/>
      <c r="N2865" s="420"/>
      <c r="O2865"/>
      <c r="P2865" s="392"/>
      <c r="Q2865" s="391"/>
      <c r="R2865" s="393"/>
    </row>
    <row r="2866" spans="1:18" ht="30" customHeight="1" x14ac:dyDescent="0.25">
      <c r="A2866" s="61" t="s">
        <v>1996</v>
      </c>
      <c r="B2866" s="503" t="s">
        <v>1998</v>
      </c>
      <c r="C2866" s="504"/>
      <c r="D2866" s="504"/>
      <c r="E2866" s="405">
        <f>+(5.44+9.32)/2</f>
        <v>7.3800000000000008</v>
      </c>
      <c r="F2866" s="730" t="s">
        <v>9</v>
      </c>
      <c r="G2866" s="1112"/>
      <c r="H2866" s="758"/>
      <c r="I2866" s="20">
        <v>1.04</v>
      </c>
      <c r="J2866" s="20"/>
      <c r="K2866" s="405">
        <f>+E2866*I2866</f>
        <v>7.6752000000000011</v>
      </c>
      <c r="L2866" s="20" t="s">
        <v>9</v>
      </c>
      <c r="M2866" s="419"/>
      <c r="N2866" s="420"/>
      <c r="O2866"/>
      <c r="P2866" s="392"/>
      <c r="Q2866" s="391"/>
      <c r="R2866" s="393"/>
    </row>
    <row r="2867" spans="1:18" ht="30" customHeight="1" x14ac:dyDescent="0.25">
      <c r="A2867" s="1299"/>
      <c r="B2867" s="186"/>
      <c r="C2867" s="186"/>
      <c r="D2867" s="186"/>
      <c r="E2867" s="405"/>
      <c r="F2867" s="20"/>
      <c r="G2867" s="522"/>
      <c r="H2867" s="20"/>
      <c r="I2867" s="20"/>
      <c r="J2867" s="20" t="s">
        <v>578</v>
      </c>
      <c r="K2867" s="405">
        <f>SUM(K2865:K2866)</f>
        <v>26.135200000000001</v>
      </c>
      <c r="L2867" s="20" t="s">
        <v>9</v>
      </c>
      <c r="M2867" s="419"/>
      <c r="N2867" s="420"/>
      <c r="O2867"/>
      <c r="P2867" s="392"/>
      <c r="Q2867" s="391"/>
      <c r="R2867" s="393"/>
    </row>
    <row r="2868" spans="1:18" s="49" customFormat="1" ht="30" customHeight="1" x14ac:dyDescent="0.25">
      <c r="A2868" s="61"/>
      <c r="B2868" s="410"/>
      <c r="C2868" s="410"/>
      <c r="D2868" s="410"/>
      <c r="E2868" s="405"/>
      <c r="F2868" s="338" t="s">
        <v>533</v>
      </c>
      <c r="G2868" s="339" t="s">
        <v>534</v>
      </c>
      <c r="H2868" s="339"/>
      <c r="I2868" s="339"/>
      <c r="J2868" s="339"/>
      <c r="K2868" s="340">
        <v>1.07</v>
      </c>
      <c r="L2868" s="10"/>
      <c r="M2868" s="425"/>
      <c r="N2868" s="420"/>
      <c r="P2868" s="392"/>
      <c r="Q2868" s="391"/>
      <c r="R2868" s="393"/>
    </row>
    <row r="2869" spans="1:18" ht="30" customHeight="1" x14ac:dyDescent="0.25">
      <c r="A2869" s="61"/>
      <c r="B2869" s="410"/>
      <c r="C2869" s="410"/>
      <c r="D2869" s="410"/>
      <c r="E2869" s="405"/>
      <c r="F2869" s="343"/>
      <c r="G2869" s="344" t="s">
        <v>535</v>
      </c>
      <c r="H2869" s="344"/>
      <c r="I2869" s="344"/>
      <c r="J2869" s="344"/>
      <c r="K2869" s="340">
        <v>1.02</v>
      </c>
      <c r="L2869" s="10"/>
      <c r="M2869" s="419"/>
      <c r="N2869" s="420"/>
      <c r="O2869"/>
      <c r="P2869" s="392"/>
      <c r="Q2869" s="391"/>
      <c r="R2869" s="393"/>
    </row>
    <row r="2870" spans="1:18" ht="30" customHeight="1" x14ac:dyDescent="0.25">
      <c r="A2870" s="61"/>
      <c r="B2870" s="20"/>
      <c r="C2870" s="18"/>
      <c r="D2870" s="18"/>
      <c r="E2870" s="18"/>
      <c r="F2870" s="18"/>
      <c r="G2870" s="18"/>
      <c r="H2870" s="18"/>
      <c r="I2870" s="18"/>
      <c r="J2870" s="18" t="s">
        <v>358</v>
      </c>
      <c r="K2870" s="23">
        <f>+K2867*K2868/K2869</f>
        <v>27.416337254901961</v>
      </c>
      <c r="L2870" s="20" t="s">
        <v>9</v>
      </c>
      <c r="M2870" s="419"/>
      <c r="N2870" s="420"/>
      <c r="O2870" t="s">
        <v>1999</v>
      </c>
      <c r="P2870" s="392"/>
      <c r="Q2870" s="391"/>
      <c r="R2870" s="393"/>
    </row>
    <row r="2871" spans="1:18" ht="30" customHeight="1" thickBot="1" x14ac:dyDescent="0.3">
      <c r="A2871" s="61"/>
      <c r="B2871" s="20"/>
      <c r="C2871" s="18"/>
      <c r="D2871" s="18"/>
      <c r="E2871" s="18"/>
      <c r="F2871" s="18"/>
      <c r="G2871" s="413" t="s">
        <v>537</v>
      </c>
      <c r="H2871" s="18"/>
      <c r="I2871" s="18"/>
      <c r="J2871" s="361">
        <f>VLOOKUP(B2863,'Mil Cost Premiums for RUCs'!$A$4:$R$265,18,FALSE)</f>
        <v>1.0209999999999999</v>
      </c>
      <c r="K2871" s="23">
        <f>+K2870*J2871</f>
        <v>27.992080337254901</v>
      </c>
      <c r="L2871" s="20" t="s">
        <v>9</v>
      </c>
      <c r="M2871" s="670"/>
      <c r="N2871" s="671"/>
      <c r="O2871" s="43"/>
      <c r="P2871" s="672"/>
      <c r="Q2871" s="671"/>
      <c r="R2871" s="673"/>
    </row>
    <row r="2872" spans="1:18" ht="30" customHeight="1" thickBot="1" x14ac:dyDescent="0.3">
      <c r="A2872" s="76"/>
      <c r="B2872" s="77"/>
      <c r="C2872" s="77"/>
      <c r="D2872" s="77"/>
      <c r="E2872" s="77"/>
      <c r="F2872" s="77"/>
      <c r="G2872" s="77"/>
      <c r="H2872" s="77"/>
      <c r="I2872" s="77"/>
      <c r="J2872" s="77"/>
      <c r="K2872" s="77"/>
      <c r="L2872" s="78"/>
      <c r="M2872" s="670"/>
      <c r="N2872" s="671"/>
      <c r="O2872" s="43"/>
      <c r="P2872" s="672"/>
      <c r="Q2872" s="671"/>
      <c r="R2872" s="673"/>
    </row>
    <row r="2873" spans="1:18" ht="30" customHeight="1" x14ac:dyDescent="0.25">
      <c r="A2873" s="30" t="s">
        <v>288</v>
      </c>
      <c r="B2873" s="208">
        <v>7143</v>
      </c>
      <c r="C2873" s="282" t="s">
        <v>2000</v>
      </c>
      <c r="D2873" s="283"/>
      <c r="E2873" s="177" t="s">
        <v>291</v>
      </c>
      <c r="F2873" s="178" t="s">
        <v>9</v>
      </c>
      <c r="G2873" s="123" t="s">
        <v>375</v>
      </c>
      <c r="H2873" s="388">
        <v>667</v>
      </c>
      <c r="I2873" s="177" t="s">
        <v>292</v>
      </c>
      <c r="J2873" s="38" t="s">
        <v>883</v>
      </c>
      <c r="K2873" s="38"/>
      <c r="L2873" s="389"/>
      <c r="M2873" s="419"/>
      <c r="N2873" s="420"/>
      <c r="O2873"/>
      <c r="P2873" s="392"/>
      <c r="Q2873" s="391"/>
      <c r="R2873" s="393"/>
    </row>
    <row r="2874" spans="1:18" ht="30" customHeight="1" x14ac:dyDescent="0.25">
      <c r="A2874" s="48" t="s">
        <v>529</v>
      </c>
      <c r="B2874" s="394" t="s">
        <v>560</v>
      </c>
      <c r="C2874" s="395"/>
      <c r="D2874" s="396"/>
      <c r="E2874" s="397" t="s">
        <v>519</v>
      </c>
      <c r="F2874" s="397" t="s">
        <v>561</v>
      </c>
      <c r="G2874" s="398" t="s">
        <v>562</v>
      </c>
      <c r="H2874" s="399"/>
      <c r="I2874" s="181" t="s">
        <v>530</v>
      </c>
      <c r="J2874" s="181"/>
      <c r="K2874" s="288" t="s">
        <v>521</v>
      </c>
      <c r="L2874" s="289"/>
      <c r="M2874" s="419"/>
      <c r="N2874" s="420"/>
      <c r="O2874"/>
      <c r="P2874" s="392"/>
      <c r="Q2874" s="391"/>
      <c r="R2874" s="393"/>
    </row>
    <row r="2875" spans="1:18" ht="30" customHeight="1" x14ac:dyDescent="0.25">
      <c r="A2875" s="61" t="s">
        <v>2001</v>
      </c>
      <c r="B2875" s="503" t="s">
        <v>2002</v>
      </c>
      <c r="C2875" s="504"/>
      <c r="D2875" s="505"/>
      <c r="E2875" s="405">
        <v>25.75</v>
      </c>
      <c r="F2875" s="22" t="s">
        <v>9</v>
      </c>
      <c r="G2875" s="1112"/>
      <c r="H2875" s="758"/>
      <c r="I2875" s="20">
        <v>1.06</v>
      </c>
      <c r="J2875" s="20"/>
      <c r="K2875" s="405">
        <f>+E2875*I2875</f>
        <v>27.295000000000002</v>
      </c>
      <c r="L2875" s="20" t="s">
        <v>9</v>
      </c>
      <c r="M2875" s="419"/>
      <c r="N2875" s="420"/>
      <c r="O2875"/>
      <c r="P2875" s="392"/>
      <c r="Q2875" s="391"/>
      <c r="R2875" s="393"/>
    </row>
    <row r="2876" spans="1:18" ht="30" customHeight="1" x14ac:dyDescent="0.25">
      <c r="A2876" s="61" t="s">
        <v>644</v>
      </c>
      <c r="B2876" s="186" t="s">
        <v>2003</v>
      </c>
      <c r="C2876" s="186"/>
      <c r="D2876" s="186"/>
      <c r="E2876" s="405">
        <v>3.8</v>
      </c>
      <c r="F2876" s="20" t="s">
        <v>9</v>
      </c>
      <c r="G2876" s="20"/>
      <c r="H2876" s="20"/>
      <c r="I2876" s="20">
        <v>1.05</v>
      </c>
      <c r="J2876" s="20"/>
      <c r="K2876" s="405">
        <f>+E2876*I2876</f>
        <v>3.9899999999999998</v>
      </c>
      <c r="L2876" s="20" t="s">
        <v>9</v>
      </c>
      <c r="M2876" s="419"/>
      <c r="N2876" s="420"/>
      <c r="O2876"/>
      <c r="P2876" s="392"/>
      <c r="Q2876" s="391"/>
      <c r="R2876" s="393"/>
    </row>
    <row r="2877" spans="1:18" s="49" customFormat="1" ht="30" customHeight="1" x14ac:dyDescent="0.25">
      <c r="A2877" s="1299"/>
      <c r="B2877" s="186"/>
      <c r="C2877" s="186"/>
      <c r="D2877" s="186"/>
      <c r="E2877" s="405"/>
      <c r="F2877" s="20"/>
      <c r="G2877" s="522"/>
      <c r="H2877" s="20"/>
      <c r="I2877" s="20"/>
      <c r="J2877" s="20" t="s">
        <v>578</v>
      </c>
      <c r="K2877" s="405">
        <f>SUM(K2875:K2876)</f>
        <v>31.285</v>
      </c>
      <c r="L2877" s="20" t="s">
        <v>9</v>
      </c>
      <c r="M2877" s="425"/>
      <c r="N2877" s="420"/>
      <c r="P2877" s="392"/>
      <c r="Q2877" s="391"/>
      <c r="R2877" s="393"/>
    </row>
    <row r="2878" spans="1:18" ht="30" customHeight="1" x14ac:dyDescent="0.25">
      <c r="A2878" s="61"/>
      <c r="B2878" s="410"/>
      <c r="C2878" s="410"/>
      <c r="D2878" s="410"/>
      <c r="E2878" s="405"/>
      <c r="F2878" s="338" t="s">
        <v>533</v>
      </c>
      <c r="G2878" s="339" t="s">
        <v>534</v>
      </c>
      <c r="H2878" s="339"/>
      <c r="I2878" s="339"/>
      <c r="J2878" s="339"/>
      <c r="K2878" s="340">
        <v>1.07</v>
      </c>
      <c r="L2878" s="10"/>
      <c r="M2878" s="419"/>
      <c r="N2878" s="420"/>
      <c r="O2878"/>
      <c r="P2878" s="392"/>
      <c r="Q2878" s="391"/>
      <c r="R2878" s="393"/>
    </row>
    <row r="2879" spans="1:18" ht="30" customHeight="1" x14ac:dyDescent="0.25">
      <c r="A2879" s="61"/>
      <c r="B2879" s="410"/>
      <c r="C2879" s="410"/>
      <c r="D2879" s="410"/>
      <c r="E2879" s="405"/>
      <c r="F2879" s="343"/>
      <c r="G2879" s="344" t="s">
        <v>535</v>
      </c>
      <c r="H2879" s="344"/>
      <c r="I2879" s="344"/>
      <c r="J2879" s="344"/>
      <c r="K2879" s="340">
        <v>1.02</v>
      </c>
      <c r="L2879" s="10"/>
      <c r="M2879" s="670"/>
      <c r="N2879" s="671"/>
      <c r="O2879" s="43"/>
      <c r="P2879" s="672"/>
      <c r="Q2879" s="671"/>
      <c r="R2879" s="673"/>
    </row>
    <row r="2880" spans="1:18" ht="30" customHeight="1" x14ac:dyDescent="0.25">
      <c r="A2880" s="61"/>
      <c r="B2880" s="20"/>
      <c r="C2880" s="18"/>
      <c r="D2880" s="18"/>
      <c r="E2880" s="18"/>
      <c r="F2880" s="18"/>
      <c r="G2880" s="18"/>
      <c r="H2880" s="18"/>
      <c r="I2880" s="18"/>
      <c r="J2880" s="18" t="s">
        <v>358</v>
      </c>
      <c r="K2880" s="23">
        <f>+K2877*K2878/K2879</f>
        <v>32.818578431372551</v>
      </c>
      <c r="L2880" s="20" t="s">
        <v>9</v>
      </c>
      <c r="M2880" s="670"/>
      <c r="N2880" s="671"/>
      <c r="O2880" s="43"/>
      <c r="P2880" s="672"/>
      <c r="Q2880" s="671"/>
      <c r="R2880" s="673"/>
    </row>
    <row r="2881" spans="1:18" ht="30" customHeight="1" thickBot="1" x14ac:dyDescent="0.3">
      <c r="A2881" s="61"/>
      <c r="B2881" s="20"/>
      <c r="C2881" s="18"/>
      <c r="D2881" s="18"/>
      <c r="E2881" s="18"/>
      <c r="F2881" s="18"/>
      <c r="G2881" s="413" t="s">
        <v>537</v>
      </c>
      <c r="H2881" s="18"/>
      <c r="I2881" s="18"/>
      <c r="J2881" s="361">
        <f>VLOOKUP(B2873,'Mil Cost Premiums for RUCs'!$A$4:$R$265,18,FALSE)</f>
        <v>1.0209999999999999</v>
      </c>
      <c r="K2881" s="23">
        <f>+K2880*J2881</f>
        <v>33.507768578431374</v>
      </c>
      <c r="L2881" s="20" t="s">
        <v>9</v>
      </c>
      <c r="M2881" s="419"/>
      <c r="N2881" s="420"/>
      <c r="O2881"/>
      <c r="P2881" s="392"/>
      <c r="Q2881" s="391"/>
      <c r="R2881" s="393"/>
    </row>
    <row r="2882" spans="1:18" ht="30" customHeight="1" thickBot="1" x14ac:dyDescent="0.3">
      <c r="A2882" s="76"/>
      <c r="B2882" s="77"/>
      <c r="C2882" s="77"/>
      <c r="D2882" s="77"/>
      <c r="E2882" s="77"/>
      <c r="F2882" s="77"/>
      <c r="G2882" s="77"/>
      <c r="H2882" s="77"/>
      <c r="I2882" s="77"/>
      <c r="J2882" s="77"/>
      <c r="K2882" s="77"/>
      <c r="L2882" s="78"/>
      <c r="M2882" s="419"/>
      <c r="N2882" s="420"/>
      <c r="O2882"/>
      <c r="P2882" s="412"/>
      <c r="Q2882" s="391"/>
      <c r="R2882" s="393"/>
    </row>
    <row r="2883" spans="1:18" ht="30" customHeight="1" x14ac:dyDescent="0.25">
      <c r="A2883" s="30" t="s">
        <v>288</v>
      </c>
      <c r="B2883" s="208">
        <v>7145</v>
      </c>
      <c r="C2883" s="209" t="s">
        <v>2004</v>
      </c>
      <c r="D2883" s="210"/>
      <c r="E2883" s="177" t="s">
        <v>291</v>
      </c>
      <c r="F2883" s="178" t="s">
        <v>9</v>
      </c>
      <c r="G2883" s="123" t="s">
        <v>375</v>
      </c>
      <c r="H2883" s="539">
        <v>1590</v>
      </c>
      <c r="I2883" s="177" t="s">
        <v>292</v>
      </c>
      <c r="J2883" s="38" t="s">
        <v>883</v>
      </c>
      <c r="K2883" s="38"/>
      <c r="L2883" s="389"/>
      <c r="M2883" s="419"/>
      <c r="N2883" s="420"/>
      <c r="O2883"/>
      <c r="P2883" s="412"/>
      <c r="Q2883" s="391"/>
      <c r="R2883" s="393"/>
    </row>
    <row r="2884" spans="1:18" ht="30" customHeight="1" x14ac:dyDescent="0.25">
      <c r="A2884" s="48" t="s">
        <v>529</v>
      </c>
      <c r="B2884" s="394" t="s">
        <v>560</v>
      </c>
      <c r="C2884" s="395"/>
      <c r="D2884" s="396"/>
      <c r="E2884" s="397" t="s">
        <v>519</v>
      </c>
      <c r="F2884" s="397" t="s">
        <v>561</v>
      </c>
      <c r="G2884" s="398" t="s">
        <v>562</v>
      </c>
      <c r="H2884" s="399"/>
      <c r="I2884" s="181" t="s">
        <v>530</v>
      </c>
      <c r="J2884" s="181"/>
      <c r="K2884" s="288" t="s">
        <v>521</v>
      </c>
      <c r="L2884" s="289"/>
      <c r="M2884" s="419"/>
      <c r="N2884" s="420"/>
      <c r="O2884"/>
      <c r="P2884" s="412"/>
      <c r="Q2884" s="391"/>
      <c r="R2884" s="393"/>
    </row>
    <row r="2885" spans="1:18" s="49" customFormat="1" ht="30" customHeight="1" x14ac:dyDescent="0.25">
      <c r="A2885" s="61" t="s">
        <v>2005</v>
      </c>
      <c r="B2885" s="503" t="s">
        <v>2006</v>
      </c>
      <c r="C2885" s="504"/>
      <c r="D2885" s="505"/>
      <c r="E2885" s="405">
        <v>109.26</v>
      </c>
      <c r="F2885" s="22" t="s">
        <v>9</v>
      </c>
      <c r="G2885" s="1112"/>
      <c r="H2885" s="758"/>
      <c r="I2885" s="20">
        <v>1.06</v>
      </c>
      <c r="J2885" s="20"/>
      <c r="K2885" s="405">
        <f>+E2885*I2885</f>
        <v>115.81560000000002</v>
      </c>
      <c r="L2885" s="20" t="s">
        <v>9</v>
      </c>
      <c r="M2885" s="425"/>
      <c r="N2885" s="420"/>
      <c r="P2885" s="412"/>
      <c r="Q2885" s="391"/>
      <c r="R2885" s="393"/>
    </row>
    <row r="2886" spans="1:18" ht="30" customHeight="1" x14ac:dyDescent="0.25">
      <c r="A2886" s="61" t="s">
        <v>691</v>
      </c>
      <c r="B2886" s="186" t="s">
        <v>2007</v>
      </c>
      <c r="C2886" s="186"/>
      <c r="D2886" s="186"/>
      <c r="E2886" s="405">
        <v>4.4800000000000004</v>
      </c>
      <c r="F2886" s="20" t="s">
        <v>9</v>
      </c>
      <c r="G2886" s="20"/>
      <c r="H2886" s="20"/>
      <c r="I2886" s="20">
        <v>1.06</v>
      </c>
      <c r="J2886" s="20"/>
      <c r="K2886" s="405">
        <f>+E2886*I2886</f>
        <v>4.748800000000001</v>
      </c>
      <c r="L2886" s="20" t="s">
        <v>9</v>
      </c>
      <c r="M2886" s="419"/>
      <c r="N2886" s="420"/>
      <c r="O2886"/>
      <c r="P2886" s="412"/>
      <c r="Q2886" s="391"/>
      <c r="R2886" s="393"/>
    </row>
    <row r="2887" spans="1:18" ht="30" customHeight="1" x14ac:dyDescent="0.25">
      <c r="A2887" s="1299"/>
      <c r="B2887" s="186"/>
      <c r="C2887" s="186"/>
      <c r="D2887" s="186"/>
      <c r="E2887" s="405"/>
      <c r="F2887" s="20"/>
      <c r="G2887" s="522"/>
      <c r="H2887" s="20"/>
      <c r="I2887" s="20"/>
      <c r="J2887" s="20" t="s">
        <v>578</v>
      </c>
      <c r="K2887" s="405">
        <f>SUM(K2885:K2886)</f>
        <v>120.56440000000002</v>
      </c>
      <c r="L2887" s="20" t="s">
        <v>9</v>
      </c>
      <c r="M2887" s="1368"/>
      <c r="N2887" s="1310"/>
      <c r="O2887"/>
      <c r="P2887" s="412"/>
      <c r="Q2887" s="391"/>
      <c r="R2887" s="393"/>
    </row>
    <row r="2888" spans="1:18" ht="30" customHeight="1" x14ac:dyDescent="0.25">
      <c r="A2888" s="61"/>
      <c r="B2888" s="410"/>
      <c r="C2888" s="410"/>
      <c r="D2888" s="410"/>
      <c r="E2888" s="405"/>
      <c r="F2888" s="338" t="s">
        <v>533</v>
      </c>
      <c r="G2888" s="339" t="s">
        <v>534</v>
      </c>
      <c r="H2888" s="339"/>
      <c r="I2888" s="339"/>
      <c r="J2888" s="339"/>
      <c r="K2888" s="340">
        <v>1.07</v>
      </c>
      <c r="L2888" s="10"/>
      <c r="M2888" s="419"/>
      <c r="N2888" s="420"/>
      <c r="O2888"/>
      <c r="P2888" s="412"/>
      <c r="Q2888" s="391"/>
      <c r="R2888" s="393"/>
    </row>
    <row r="2889" spans="1:18" ht="30" customHeight="1" x14ac:dyDescent="0.25">
      <c r="A2889" s="61"/>
      <c r="B2889" s="410"/>
      <c r="C2889" s="410"/>
      <c r="D2889" s="410"/>
      <c r="E2889" s="405"/>
      <c r="F2889" s="343"/>
      <c r="G2889" s="344" t="s">
        <v>535</v>
      </c>
      <c r="H2889" s="344"/>
      <c r="I2889" s="344"/>
      <c r="J2889" s="344"/>
      <c r="K2889" s="340">
        <v>1.02</v>
      </c>
      <c r="L2889" s="10"/>
      <c r="M2889" s="670"/>
      <c r="N2889" s="671"/>
      <c r="O2889" s="43"/>
      <c r="P2889" s="672"/>
      <c r="Q2889" s="671"/>
      <c r="R2889" s="673"/>
    </row>
    <row r="2890" spans="1:18" ht="30" customHeight="1" x14ac:dyDescent="0.25">
      <c r="A2890" s="61"/>
      <c r="B2890" s="20"/>
      <c r="C2890" s="18"/>
      <c r="D2890" s="18"/>
      <c r="E2890" s="18"/>
      <c r="F2890" s="18"/>
      <c r="G2890" s="18"/>
      <c r="H2890" s="18"/>
      <c r="I2890" s="18"/>
      <c r="J2890" s="20" t="s">
        <v>358</v>
      </c>
      <c r="K2890" s="23">
        <f>+K2887*K2888/K2889</f>
        <v>126.47441960784316</v>
      </c>
      <c r="L2890" s="20" t="s">
        <v>9</v>
      </c>
      <c r="M2890" s="670"/>
      <c r="N2890" s="671"/>
      <c r="O2890" s="43"/>
      <c r="P2890" s="672"/>
      <c r="Q2890" s="671"/>
      <c r="R2890" s="673"/>
    </row>
    <row r="2891" spans="1:18" ht="30" customHeight="1" thickBot="1" x14ac:dyDescent="0.3">
      <c r="A2891" s="61"/>
      <c r="B2891" s="20"/>
      <c r="C2891" s="18"/>
      <c r="D2891" s="18"/>
      <c r="E2891" s="18"/>
      <c r="F2891" s="18"/>
      <c r="G2891" s="413" t="s">
        <v>537</v>
      </c>
      <c r="H2891" s="18"/>
      <c r="I2891" s="18"/>
      <c r="J2891" s="361">
        <f>VLOOKUP(B2883,'Mil Cost Premiums for RUCs'!$A$4:$R$265,18,FALSE)</f>
        <v>1.0209999999999999</v>
      </c>
      <c r="K2891" s="23">
        <f>+K2890*J2891</f>
        <v>129.13038241960786</v>
      </c>
      <c r="L2891" s="20" t="s">
        <v>9</v>
      </c>
      <c r="M2891" s="419"/>
      <c r="N2891" s="420"/>
      <c r="O2891"/>
      <c r="P2891" s="412"/>
      <c r="Q2891" s="391"/>
      <c r="R2891" s="393"/>
    </row>
    <row r="2892" spans="1:18" ht="30" customHeight="1" thickBot="1" x14ac:dyDescent="0.3">
      <c r="A2892" s="76"/>
      <c r="B2892" s="77"/>
      <c r="C2892" s="77"/>
      <c r="D2892" s="77"/>
      <c r="E2892" s="77"/>
      <c r="F2892" s="77"/>
      <c r="G2892" s="77"/>
      <c r="H2892" s="77"/>
      <c r="I2892" s="77"/>
      <c r="J2892" s="77"/>
      <c r="K2892" s="77"/>
      <c r="L2892" s="78"/>
      <c r="M2892" s="419"/>
      <c r="N2892" s="420"/>
      <c r="O2892"/>
      <c r="P2892" s="412"/>
      <c r="Q2892" s="391"/>
      <c r="R2892" s="393"/>
    </row>
    <row r="2893" spans="1:18" ht="30" customHeight="1" x14ac:dyDescent="0.25">
      <c r="A2893" s="30" t="s">
        <v>288</v>
      </c>
      <c r="B2893" s="31">
        <v>7147</v>
      </c>
      <c r="C2893" s="161" t="s">
        <v>2008</v>
      </c>
      <c r="D2893" s="162"/>
      <c r="E2893" s="177" t="s">
        <v>291</v>
      </c>
      <c r="F2893" s="178" t="s">
        <v>9</v>
      </c>
      <c r="G2893" s="123" t="s">
        <v>375</v>
      </c>
      <c r="H2893" s="388">
        <v>391</v>
      </c>
      <c r="I2893" s="177" t="s">
        <v>292</v>
      </c>
      <c r="J2893" s="38" t="s">
        <v>883</v>
      </c>
      <c r="K2893" s="38"/>
      <c r="L2893" s="389"/>
      <c r="M2893" s="419"/>
      <c r="N2893" s="420"/>
      <c r="O2893"/>
      <c r="P2893" s="412"/>
      <c r="Q2893" s="391"/>
      <c r="R2893" s="393"/>
    </row>
    <row r="2894" spans="1:18" ht="30" customHeight="1" x14ac:dyDescent="0.25">
      <c r="A2894" s="48" t="s">
        <v>529</v>
      </c>
      <c r="B2894" s="490" t="s">
        <v>560</v>
      </c>
      <c r="C2894" s="491"/>
      <c r="D2894" s="492"/>
      <c r="E2894" s="397" t="s">
        <v>519</v>
      </c>
      <c r="F2894" s="397" t="s">
        <v>561</v>
      </c>
      <c r="G2894" s="398" t="s">
        <v>562</v>
      </c>
      <c r="H2894" s="399"/>
      <c r="I2894" s="181" t="s">
        <v>530</v>
      </c>
      <c r="J2894" s="181"/>
      <c r="K2894" s="507" t="s">
        <v>521</v>
      </c>
      <c r="L2894" s="508"/>
      <c r="M2894" s="419"/>
      <c r="N2894" s="420"/>
      <c r="O2894"/>
      <c r="P2894" s="412"/>
      <c r="Q2894" s="391"/>
      <c r="R2894" s="393"/>
    </row>
    <row r="2895" spans="1:18" s="49" customFormat="1" ht="30" customHeight="1" x14ac:dyDescent="0.25">
      <c r="A2895" s="1299" t="s">
        <v>1996</v>
      </c>
      <c r="B2895" s="716" t="s">
        <v>2009</v>
      </c>
      <c r="C2895" s="717"/>
      <c r="D2895" s="718"/>
      <c r="E2895" s="405">
        <f>+(7.78+15.65)/2</f>
        <v>11.715</v>
      </c>
      <c r="F2895" s="22" t="s">
        <v>9</v>
      </c>
      <c r="G2895" s="1112"/>
      <c r="H2895" s="758"/>
      <c r="I2895" s="20">
        <v>1.04</v>
      </c>
      <c r="J2895" s="20"/>
      <c r="K2895" s="530">
        <f>+E2895*I2895</f>
        <v>12.1836</v>
      </c>
      <c r="L2895" s="61" t="s">
        <v>9</v>
      </c>
      <c r="M2895" s="986"/>
      <c r="N2895" s="1865"/>
      <c r="P2895" s="412"/>
      <c r="Q2895" s="391"/>
      <c r="R2895" s="393"/>
    </row>
    <row r="2896" spans="1:18" ht="30" customHeight="1" x14ac:dyDescent="0.25">
      <c r="A2896" s="1325" t="s">
        <v>1996</v>
      </c>
      <c r="B2896" s="402" t="s">
        <v>2010</v>
      </c>
      <c r="C2896" s="403"/>
      <c r="D2896" s="404"/>
      <c r="E2896" s="405">
        <f>(5.44+9.32)/2</f>
        <v>7.3800000000000008</v>
      </c>
      <c r="F2896" s="22" t="s">
        <v>9</v>
      </c>
      <c r="G2896" s="1112"/>
      <c r="H2896" s="758"/>
      <c r="I2896" s="20">
        <v>1.04</v>
      </c>
      <c r="J2896" s="20"/>
      <c r="K2896" s="405">
        <f>+E2896*I2896</f>
        <v>7.6752000000000011</v>
      </c>
      <c r="L2896" s="20"/>
      <c r="M2896" s="986"/>
      <c r="N2896" s="1865"/>
      <c r="O2896"/>
      <c r="P2896" s="412"/>
      <c r="Q2896" s="391"/>
      <c r="R2896" s="393"/>
    </row>
    <row r="2897" spans="1:18" ht="30" customHeight="1" x14ac:dyDescent="0.25">
      <c r="A2897" s="1299"/>
      <c r="B2897" s="62"/>
      <c r="C2897" s="62"/>
      <c r="D2897" s="62"/>
      <c r="E2897" s="530"/>
      <c r="F2897" s="61"/>
      <c r="G2897" s="1326"/>
      <c r="H2897" s="61"/>
      <c r="I2897" s="61"/>
      <c r="J2897" s="61" t="s">
        <v>578</v>
      </c>
      <c r="K2897" s="405">
        <f>SUM(K2895:K2896)</f>
        <v>19.858800000000002</v>
      </c>
      <c r="L2897" s="20" t="s">
        <v>9</v>
      </c>
      <c r="M2897" s="433"/>
      <c r="N2897" s="420"/>
      <c r="O2897"/>
      <c r="P2897" s="412"/>
      <c r="Q2897" s="391"/>
      <c r="R2897" s="393"/>
    </row>
    <row r="2898" spans="1:18" ht="30" customHeight="1" x14ac:dyDescent="0.25">
      <c r="A2898" s="61"/>
      <c r="B2898" s="498"/>
      <c r="C2898" s="498"/>
      <c r="D2898" s="498"/>
      <c r="E2898" s="530"/>
      <c r="F2898" s="676" t="s">
        <v>533</v>
      </c>
      <c r="G2898" s="677" t="s">
        <v>534</v>
      </c>
      <c r="H2898" s="677"/>
      <c r="I2898" s="677"/>
      <c r="J2898" s="677"/>
      <c r="K2898" s="340">
        <v>1.07</v>
      </c>
      <c r="L2898" s="10"/>
      <c r="M2898" s="1881"/>
      <c r="N2898" s="1270"/>
      <c r="O2898"/>
      <c r="P2898" s="412"/>
      <c r="Q2898" s="391"/>
      <c r="R2898" s="393"/>
    </row>
    <row r="2899" spans="1:18" ht="30" customHeight="1" x14ac:dyDescent="0.25">
      <c r="A2899" s="61"/>
      <c r="B2899" s="498"/>
      <c r="C2899" s="498"/>
      <c r="D2899" s="498"/>
      <c r="E2899" s="530"/>
      <c r="F2899" s="678"/>
      <c r="G2899" s="679" t="s">
        <v>535</v>
      </c>
      <c r="H2899" s="679"/>
      <c r="I2899" s="679"/>
      <c r="J2899" s="679"/>
      <c r="K2899" s="340">
        <v>1.02</v>
      </c>
      <c r="L2899" s="10"/>
      <c r="M2899" s="1881"/>
      <c r="N2899" s="1270"/>
      <c r="O2899" s="43"/>
      <c r="P2899" s="672"/>
      <c r="Q2899" s="671"/>
      <c r="R2899" s="673"/>
    </row>
    <row r="2900" spans="1:18" ht="30" customHeight="1" x14ac:dyDescent="0.25">
      <c r="A2900" s="61"/>
      <c r="B2900" s="61"/>
      <c r="C2900" s="63"/>
      <c r="D2900" s="63"/>
      <c r="E2900" s="63"/>
      <c r="F2900" s="63"/>
      <c r="G2900" s="63"/>
      <c r="H2900" s="63"/>
      <c r="I2900" s="63"/>
      <c r="J2900" s="61" t="s">
        <v>358</v>
      </c>
      <c r="K2900" s="23">
        <f>+K2897*K2898/K2899</f>
        <v>20.8322705882353</v>
      </c>
      <c r="L2900" s="20" t="s">
        <v>9</v>
      </c>
      <c r="M2900" s="670"/>
      <c r="N2900" s="671"/>
      <c r="O2900" s="43"/>
      <c r="P2900" s="672"/>
      <c r="Q2900" s="671"/>
      <c r="R2900" s="673"/>
    </row>
    <row r="2901" spans="1:18" ht="30" customHeight="1" thickBot="1" x14ac:dyDescent="0.3">
      <c r="A2901" s="61"/>
      <c r="B2901" s="61"/>
      <c r="C2901" s="63"/>
      <c r="D2901" s="63"/>
      <c r="E2901" s="63"/>
      <c r="F2901" s="63"/>
      <c r="G2901" s="445" t="s">
        <v>537</v>
      </c>
      <c r="H2901" s="63"/>
      <c r="I2901" s="63"/>
      <c r="J2901" s="361">
        <f>VLOOKUP(B2893,'Mil Cost Premiums for RUCs'!$A$4:$R$265,18,FALSE)</f>
        <v>1.0905505199999999</v>
      </c>
      <c r="K2901" s="23">
        <f>+K2900*J2901</f>
        <v>22.71864352278071</v>
      </c>
      <c r="L2901" s="20" t="s">
        <v>9</v>
      </c>
      <c r="M2901" s="419"/>
      <c r="N2901" s="420"/>
      <c r="O2901"/>
      <c r="P2901" s="412"/>
      <c r="Q2901" s="391"/>
      <c r="R2901" s="393"/>
    </row>
    <row r="2902" spans="1:18" ht="30" customHeight="1" thickBot="1" x14ac:dyDescent="0.3">
      <c r="A2902" s="76"/>
      <c r="B2902" s="77"/>
      <c r="C2902" s="77"/>
      <c r="D2902" s="77"/>
      <c r="E2902" s="77"/>
      <c r="F2902" s="77"/>
      <c r="G2902" s="77"/>
      <c r="H2902" s="77"/>
      <c r="I2902" s="77"/>
      <c r="J2902" s="77"/>
      <c r="K2902" s="77"/>
      <c r="L2902" s="78"/>
      <c r="M2902" s="419"/>
      <c r="N2902" s="420"/>
      <c r="O2902"/>
      <c r="P2902" s="412"/>
      <c r="Q2902" s="391"/>
      <c r="R2902" s="393"/>
    </row>
    <row r="2903" spans="1:18" ht="30" customHeight="1" x14ac:dyDescent="0.25">
      <c r="A2903" s="30" t="s">
        <v>288</v>
      </c>
      <c r="B2903" s="208">
        <v>7210</v>
      </c>
      <c r="C2903" s="282" t="s">
        <v>2011</v>
      </c>
      <c r="D2903" s="283"/>
      <c r="E2903" s="177" t="s">
        <v>291</v>
      </c>
      <c r="F2903" s="178" t="s">
        <v>9</v>
      </c>
      <c r="G2903" s="123" t="s">
        <v>375</v>
      </c>
      <c r="H2903" s="769">
        <v>18365</v>
      </c>
      <c r="I2903" s="177" t="s">
        <v>292</v>
      </c>
      <c r="J2903" s="38" t="s">
        <v>516</v>
      </c>
      <c r="K2903" s="39"/>
      <c r="L2903" s="40"/>
      <c r="M2903" s="419"/>
      <c r="N2903" s="420"/>
      <c r="O2903"/>
      <c r="P2903" s="412"/>
      <c r="Q2903" s="391"/>
      <c r="R2903" s="393"/>
    </row>
    <row r="2904" spans="1:18" ht="30" customHeight="1" x14ac:dyDescent="0.25">
      <c r="A2904" s="44" t="s">
        <v>517</v>
      </c>
      <c r="B2904" s="180" t="s">
        <v>295</v>
      </c>
      <c r="C2904" s="180"/>
      <c r="D2904" s="180"/>
      <c r="E2904" s="182" t="s">
        <v>518</v>
      </c>
      <c r="F2904" s="285" t="s">
        <v>519</v>
      </c>
      <c r="G2904" s="181"/>
      <c r="H2904" s="181"/>
      <c r="I2904" s="286" t="s">
        <v>520</v>
      </c>
      <c r="J2904" s="287"/>
      <c r="K2904" s="288" t="s">
        <v>521</v>
      </c>
      <c r="L2904" s="289"/>
      <c r="M2904" s="1335"/>
      <c r="N2904" s="1928"/>
      <c r="O2904"/>
      <c r="P2904" s="412"/>
      <c r="Q2904" s="391"/>
      <c r="R2904" s="393"/>
    </row>
    <row r="2905" spans="1:18" s="49" customFormat="1" ht="45" customHeight="1" x14ac:dyDescent="0.25">
      <c r="A2905" s="65" t="s">
        <v>522</v>
      </c>
      <c r="B2905" s="214" t="s">
        <v>2012</v>
      </c>
      <c r="C2905" s="214"/>
      <c r="D2905" s="214"/>
      <c r="E2905" s="291">
        <v>70000</v>
      </c>
      <c r="F2905" s="292">
        <v>296</v>
      </c>
      <c r="G2905" s="293"/>
      <c r="H2905" s="294"/>
      <c r="I2905" s="295" t="s">
        <v>524</v>
      </c>
      <c r="J2905" s="296"/>
      <c r="K2905" s="292">
        <f>+F2905</f>
        <v>296</v>
      </c>
      <c r="L2905" s="290" t="s">
        <v>9</v>
      </c>
      <c r="M2905" s="1335"/>
      <c r="N2905" s="1928"/>
      <c r="P2905" s="412"/>
      <c r="Q2905" s="391"/>
      <c r="R2905" s="393"/>
    </row>
    <row r="2906" spans="1:18" ht="30" customHeight="1" thickBot="1" x14ac:dyDescent="0.3">
      <c r="A2906" s="61"/>
      <c r="B2906" s="191"/>
      <c r="C2906" s="191"/>
      <c r="D2906" s="191"/>
      <c r="E2906" s="297"/>
      <c r="F2906" s="298"/>
      <c r="G2906" s="298"/>
      <c r="H2906" s="299"/>
      <c r="I2906" s="18"/>
      <c r="J2906" s="185" t="s">
        <v>358</v>
      </c>
      <c r="K2906" s="301">
        <f>+K2905</f>
        <v>296</v>
      </c>
      <c r="L2906" s="20" t="s">
        <v>9</v>
      </c>
      <c r="M2906" s="419"/>
      <c r="N2906" s="420"/>
      <c r="O2906"/>
      <c r="P2906" s="412"/>
      <c r="Q2906" s="391"/>
      <c r="R2906" s="393"/>
    </row>
    <row r="2907" spans="1:18" ht="30" customHeight="1" thickBot="1" x14ac:dyDescent="0.3">
      <c r="A2907" s="76"/>
      <c r="B2907" s="77"/>
      <c r="C2907" s="77"/>
      <c r="D2907" s="77"/>
      <c r="E2907" s="77"/>
      <c r="F2907" s="77"/>
      <c r="G2907" s="77"/>
      <c r="H2907" s="77"/>
      <c r="I2907" s="77"/>
      <c r="J2907" s="77"/>
      <c r="K2907" s="77"/>
      <c r="L2907" s="78"/>
      <c r="M2907" s="419"/>
      <c r="N2907" s="420"/>
      <c r="O2907"/>
      <c r="P2907" s="412"/>
      <c r="Q2907" s="391"/>
      <c r="R2907" s="393"/>
    </row>
    <row r="2908" spans="1:18" ht="30" customHeight="1" x14ac:dyDescent="0.25">
      <c r="A2908" s="30" t="s">
        <v>288</v>
      </c>
      <c r="B2908" s="31">
        <v>7212</v>
      </c>
      <c r="C2908" s="484" t="s">
        <v>2013</v>
      </c>
      <c r="D2908" s="485"/>
      <c r="E2908" s="177" t="s">
        <v>291</v>
      </c>
      <c r="F2908" s="178" t="s">
        <v>9</v>
      </c>
      <c r="G2908" s="123" t="s">
        <v>375</v>
      </c>
      <c r="H2908" s="769">
        <v>8434</v>
      </c>
      <c r="I2908" s="177" t="s">
        <v>292</v>
      </c>
      <c r="J2908" s="38" t="s">
        <v>516</v>
      </c>
      <c r="K2908" s="39"/>
      <c r="L2908" s="40"/>
      <c r="M2908" s="419"/>
      <c r="N2908" s="420"/>
      <c r="O2908"/>
      <c r="P2908" s="412"/>
      <c r="Q2908" s="391"/>
      <c r="R2908" s="393"/>
    </row>
    <row r="2909" spans="1:18" ht="30" customHeight="1" x14ac:dyDescent="0.25">
      <c r="A2909" s="44" t="s">
        <v>517</v>
      </c>
      <c r="B2909" s="45" t="s">
        <v>295</v>
      </c>
      <c r="C2909" s="45"/>
      <c r="D2909" s="45"/>
      <c r="E2909" s="182" t="s">
        <v>518</v>
      </c>
      <c r="F2909" s="285" t="s">
        <v>519</v>
      </c>
      <c r="G2909" s="181"/>
      <c r="H2909" s="181"/>
      <c r="I2909" s="286" t="s">
        <v>520</v>
      </c>
      <c r="J2909" s="287"/>
      <c r="K2909" s="288" t="s">
        <v>521</v>
      </c>
      <c r="L2909" s="289"/>
      <c r="M2909" s="425"/>
      <c r="N2909" s="420"/>
      <c r="O2909" s="43"/>
      <c r="P2909" s="672"/>
      <c r="Q2909" s="671"/>
      <c r="R2909" s="673"/>
    </row>
    <row r="2910" spans="1:18" s="25" customFormat="1" ht="45" customHeight="1" x14ac:dyDescent="0.25">
      <c r="A2910" s="290" t="s">
        <v>522</v>
      </c>
      <c r="B2910" s="214" t="s">
        <v>2012</v>
      </c>
      <c r="C2910" s="214"/>
      <c r="D2910" s="214"/>
      <c r="E2910" s="291">
        <v>70000</v>
      </c>
      <c r="F2910" s="292">
        <v>296</v>
      </c>
      <c r="G2910" s="293"/>
      <c r="H2910" s="294"/>
      <c r="I2910" s="295" t="s">
        <v>524</v>
      </c>
      <c r="J2910" s="296"/>
      <c r="K2910" s="292">
        <f>+F2910</f>
        <v>296</v>
      </c>
      <c r="L2910" s="290" t="s">
        <v>9</v>
      </c>
      <c r="M2910" s="1335"/>
      <c r="N2910" s="1928"/>
      <c r="O2910" s="43"/>
      <c r="P2910" s="672"/>
      <c r="Q2910" s="671"/>
      <c r="R2910" s="673"/>
    </row>
    <row r="2911" spans="1:18" ht="30" customHeight="1" thickBot="1" x14ac:dyDescent="0.3">
      <c r="A2911" s="61"/>
      <c r="B2911" s="192"/>
      <c r="C2911" s="192"/>
      <c r="D2911" s="192"/>
      <c r="E2911" s="297"/>
      <c r="F2911" s="298"/>
      <c r="G2911" s="298"/>
      <c r="H2911" s="299"/>
      <c r="I2911" s="18"/>
      <c r="J2911" s="185" t="s">
        <v>358</v>
      </c>
      <c r="K2911" s="301">
        <f>+K2910</f>
        <v>296</v>
      </c>
      <c r="L2911" s="20" t="s">
        <v>9</v>
      </c>
      <c r="M2911" s="1335"/>
      <c r="N2911" s="1928"/>
      <c r="O2911" s="43"/>
      <c r="P2911" s="672"/>
      <c r="Q2911" s="671"/>
      <c r="R2911" s="673"/>
    </row>
    <row r="2912" spans="1:18" ht="30" customHeight="1" thickBot="1" x14ac:dyDescent="0.3">
      <c r="A2912" s="76"/>
      <c r="B2912" s="77"/>
      <c r="C2912" s="77"/>
      <c r="D2912" s="77"/>
      <c r="E2912" s="77"/>
      <c r="F2912" s="77"/>
      <c r="G2912" s="77"/>
      <c r="H2912" s="77"/>
      <c r="I2912" s="77"/>
      <c r="J2912" s="77"/>
      <c r="K2912" s="77"/>
      <c r="L2912" s="78"/>
      <c r="M2912" s="419"/>
      <c r="N2912" s="420"/>
      <c r="O2912"/>
      <c r="P2912" s="412"/>
      <c r="Q2912" s="391"/>
      <c r="R2912" s="393"/>
    </row>
    <row r="2913" spans="1:21" ht="30" customHeight="1" x14ac:dyDescent="0.25">
      <c r="A2913" s="30" t="s">
        <v>288</v>
      </c>
      <c r="B2913" s="208">
        <v>7213</v>
      </c>
      <c r="C2913" s="1025" t="s">
        <v>2014</v>
      </c>
      <c r="D2913" s="1026"/>
      <c r="E2913" s="177" t="s">
        <v>291</v>
      </c>
      <c r="F2913" s="178" t="s">
        <v>9</v>
      </c>
      <c r="G2913" s="123" t="s">
        <v>375</v>
      </c>
      <c r="H2913" s="769">
        <v>19771</v>
      </c>
      <c r="I2913" s="177" t="s">
        <v>292</v>
      </c>
      <c r="J2913" s="488" t="s">
        <v>516</v>
      </c>
      <c r="K2913" s="488"/>
      <c r="L2913" s="489"/>
      <c r="N2913" s="420"/>
      <c r="O2913"/>
      <c r="P2913" s="412"/>
      <c r="Q2913" s="391"/>
      <c r="R2913" s="393"/>
    </row>
    <row r="2914" spans="1:21" ht="30" customHeight="1" x14ac:dyDescent="0.25">
      <c r="A2914" s="44" t="s">
        <v>517</v>
      </c>
      <c r="B2914" s="1024" t="s">
        <v>295</v>
      </c>
      <c r="C2914" s="874"/>
      <c r="D2914" s="875"/>
      <c r="E2914" s="182" t="s">
        <v>518</v>
      </c>
      <c r="F2914" s="285" t="s">
        <v>519</v>
      </c>
      <c r="G2914" s="181"/>
      <c r="H2914" s="181"/>
      <c r="I2914" s="286" t="s">
        <v>520</v>
      </c>
      <c r="J2914" s="287"/>
      <c r="K2914" s="288" t="s">
        <v>521</v>
      </c>
      <c r="L2914" s="289"/>
      <c r="M2914" s="986"/>
      <c r="N2914" s="1865"/>
      <c r="O2914"/>
      <c r="P2914" s="412"/>
      <c r="Q2914" s="391"/>
      <c r="R2914" s="393"/>
    </row>
    <row r="2915" spans="1:21" ht="30" customHeight="1" x14ac:dyDescent="0.25">
      <c r="A2915" s="65" t="s">
        <v>522</v>
      </c>
      <c r="B2915" s="476" t="s">
        <v>2015</v>
      </c>
      <c r="C2915" s="477"/>
      <c r="D2915" s="478"/>
      <c r="E2915" s="291">
        <v>120000</v>
      </c>
      <c r="F2915" s="292">
        <v>293</v>
      </c>
      <c r="G2915" s="293"/>
      <c r="H2915" s="294"/>
      <c r="I2915" s="295" t="s">
        <v>524</v>
      </c>
      <c r="J2915" s="296"/>
      <c r="K2915" s="292">
        <f>+F2915</f>
        <v>293</v>
      </c>
      <c r="L2915" s="290" t="s">
        <v>9</v>
      </c>
      <c r="M2915" s="986"/>
      <c r="N2915" s="1865"/>
      <c r="O2915"/>
      <c r="P2915" s="412"/>
      <c r="Q2915" s="391"/>
      <c r="R2915" s="393"/>
    </row>
    <row r="2916" spans="1:21" s="49" customFormat="1" ht="30" customHeight="1" thickBot="1" x14ac:dyDescent="0.3">
      <c r="A2916" s="61"/>
      <c r="B2916" s="1213"/>
      <c r="C2916" s="1214"/>
      <c r="D2916" s="1215"/>
      <c r="E2916" s="1327"/>
      <c r="F2916" s="1328"/>
      <c r="G2916" s="1328"/>
      <c r="H2916" s="1329"/>
      <c r="I2916" s="18"/>
      <c r="J2916" s="185" t="s">
        <v>358</v>
      </c>
      <c r="K2916" s="301">
        <f>+K2915</f>
        <v>293</v>
      </c>
      <c r="L2916" s="20" t="s">
        <v>9</v>
      </c>
      <c r="M2916" s="1330"/>
      <c r="N2916" s="502"/>
      <c r="P2916" s="412"/>
      <c r="Q2916" s="391"/>
      <c r="R2916" s="393"/>
    </row>
    <row r="2917" spans="1:21" ht="30" customHeight="1" thickBot="1" x14ac:dyDescent="0.3">
      <c r="A2917" s="76"/>
      <c r="B2917" s="77"/>
      <c r="C2917" s="77"/>
      <c r="D2917" s="77"/>
      <c r="E2917" s="77"/>
      <c r="F2917" s="77"/>
      <c r="G2917" s="77"/>
      <c r="H2917" s="77"/>
      <c r="I2917" s="77"/>
      <c r="J2917" s="77"/>
      <c r="K2917" s="77"/>
      <c r="L2917" s="78"/>
      <c r="O2917"/>
      <c r="P2917" s="412"/>
      <c r="Q2917" s="391"/>
      <c r="R2917" s="393"/>
    </row>
    <row r="2918" spans="1:21" ht="30" customHeight="1" x14ac:dyDescent="0.25">
      <c r="A2918" s="30" t="s">
        <v>288</v>
      </c>
      <c r="B2918" s="208">
        <v>7214</v>
      </c>
      <c r="C2918" s="282" t="s">
        <v>2016</v>
      </c>
      <c r="D2918" s="283"/>
      <c r="E2918" s="177" t="s">
        <v>291</v>
      </c>
      <c r="F2918" s="178" t="s">
        <v>9</v>
      </c>
      <c r="G2918" s="123" t="s">
        <v>375</v>
      </c>
      <c r="H2918" s="769">
        <v>3295</v>
      </c>
      <c r="I2918" s="177" t="s">
        <v>292</v>
      </c>
      <c r="J2918" s="38" t="s">
        <v>516</v>
      </c>
      <c r="K2918" s="39"/>
      <c r="L2918" s="40"/>
      <c r="M2918" s="419"/>
      <c r="N2918" s="420"/>
      <c r="O2918"/>
      <c r="P2918" s="412"/>
      <c r="Q2918" s="391"/>
      <c r="R2918" s="393"/>
    </row>
    <row r="2919" spans="1:21" ht="30" customHeight="1" x14ac:dyDescent="0.25">
      <c r="A2919" s="44" t="s">
        <v>517</v>
      </c>
      <c r="B2919" s="180" t="s">
        <v>295</v>
      </c>
      <c r="C2919" s="180"/>
      <c r="D2919" s="180"/>
      <c r="E2919" s="182" t="s">
        <v>518</v>
      </c>
      <c r="F2919" s="285" t="s">
        <v>519</v>
      </c>
      <c r="G2919" s="181"/>
      <c r="H2919" s="181"/>
      <c r="I2919" s="286" t="s">
        <v>520</v>
      </c>
      <c r="J2919" s="287"/>
      <c r="K2919" s="288" t="s">
        <v>521</v>
      </c>
      <c r="L2919" s="289"/>
      <c r="M2919" s="419"/>
      <c r="N2919" s="420"/>
      <c r="O2919" s="43"/>
      <c r="P2919" s="672"/>
      <c r="Q2919" s="671"/>
      <c r="R2919" s="673"/>
    </row>
    <row r="2920" spans="1:21" ht="30" customHeight="1" x14ac:dyDescent="0.25">
      <c r="A2920" s="65" t="s">
        <v>522</v>
      </c>
      <c r="B2920" s="214" t="s">
        <v>2015</v>
      </c>
      <c r="C2920" s="214"/>
      <c r="D2920" s="214"/>
      <c r="E2920" s="291">
        <v>120000</v>
      </c>
      <c r="F2920" s="292">
        <v>293</v>
      </c>
      <c r="G2920" s="293"/>
      <c r="H2920" s="294"/>
      <c r="I2920" s="295" t="s">
        <v>524</v>
      </c>
      <c r="J2920" s="296"/>
      <c r="K2920" s="292">
        <f>+F2920</f>
        <v>293</v>
      </c>
      <c r="L2920" s="290" t="s">
        <v>9</v>
      </c>
      <c r="M2920" s="1335"/>
      <c r="N2920" s="1928"/>
      <c r="O2920" s="43"/>
      <c r="P2920" s="672"/>
      <c r="Q2920" s="671"/>
      <c r="R2920" s="673"/>
    </row>
    <row r="2921" spans="1:21" ht="30" customHeight="1" thickBot="1" x14ac:dyDescent="0.3">
      <c r="A2921" s="61"/>
      <c r="B2921" s="191"/>
      <c r="C2921" s="191"/>
      <c r="D2921" s="191"/>
      <c r="E2921" s="297"/>
      <c r="F2921" s="298"/>
      <c r="G2921" s="298"/>
      <c r="H2921" s="299"/>
      <c r="I2921" s="18"/>
      <c r="J2921" s="185" t="s">
        <v>358</v>
      </c>
      <c r="K2921" s="301">
        <f>+K2920</f>
        <v>293</v>
      </c>
      <c r="L2921" s="20" t="s">
        <v>9</v>
      </c>
      <c r="M2921" s="1335"/>
      <c r="N2921" s="1928"/>
      <c r="O2921"/>
      <c r="P2921" s="412"/>
      <c r="Q2921" s="391"/>
      <c r="R2921" s="393"/>
    </row>
    <row r="2922" spans="1:21" ht="30" customHeight="1" thickBot="1" x14ac:dyDescent="0.3">
      <c r="A2922" s="76"/>
      <c r="B2922" s="77"/>
      <c r="C2922" s="77"/>
      <c r="D2922" s="77"/>
      <c r="E2922" s="77"/>
      <c r="F2922" s="77"/>
      <c r="G2922" s="77"/>
      <c r="H2922" s="77"/>
      <c r="I2922" s="77"/>
      <c r="J2922" s="77"/>
      <c r="K2922" s="77"/>
      <c r="L2922" s="78"/>
      <c r="M2922" s="419"/>
      <c r="N2922" s="420"/>
      <c r="P2922" s="43"/>
      <c r="Q2922" s="43"/>
      <c r="R2922" s="43"/>
      <c r="S2922" s="60"/>
      <c r="T2922" s="60"/>
      <c r="U2922" s="43"/>
    </row>
    <row r="2923" spans="1:21" ht="30" customHeight="1" x14ac:dyDescent="0.25">
      <c r="A2923" s="417" t="s">
        <v>288</v>
      </c>
      <c r="B2923" s="418">
        <v>7215</v>
      </c>
      <c r="C2923" s="1253" t="s">
        <v>2017</v>
      </c>
      <c r="D2923" s="748"/>
      <c r="E2923" s="540" t="s">
        <v>291</v>
      </c>
      <c r="F2923" s="541" t="s">
        <v>9</v>
      </c>
      <c r="G2923" s="123" t="s">
        <v>375</v>
      </c>
      <c r="H2923" s="542">
        <v>35064</v>
      </c>
      <c r="I2923" s="540" t="s">
        <v>292</v>
      </c>
      <c r="J2923" s="38" t="s">
        <v>883</v>
      </c>
      <c r="K2923" s="38"/>
      <c r="L2923" s="389"/>
      <c r="M2923" s="425"/>
      <c r="N2923" s="420"/>
      <c r="P2923" s="43"/>
      <c r="Q2923" s="43"/>
      <c r="R2923" s="43"/>
      <c r="S2923" s="60"/>
      <c r="T2923" s="60"/>
      <c r="U2923" s="43"/>
    </row>
    <row r="2924" spans="1:21" s="41" customFormat="1" ht="30" customHeight="1" x14ac:dyDescent="0.25">
      <c r="A2924" s="421" t="s">
        <v>529</v>
      </c>
      <c r="B2924" s="543" t="s">
        <v>560</v>
      </c>
      <c r="C2924" s="544"/>
      <c r="D2924" s="545"/>
      <c r="E2924" s="546" t="s">
        <v>519</v>
      </c>
      <c r="F2924" s="546" t="s">
        <v>561</v>
      </c>
      <c r="G2924" s="547" t="s">
        <v>562</v>
      </c>
      <c r="H2924" s="548"/>
      <c r="I2924" s="424" t="s">
        <v>530</v>
      </c>
      <c r="J2924" s="424"/>
      <c r="K2924" s="288" t="s">
        <v>521</v>
      </c>
      <c r="L2924" s="289"/>
      <c r="M2924" s="341"/>
      <c r="N2924" s="341"/>
      <c r="O2924" s="42"/>
    </row>
    <row r="2925" spans="1:21" s="49" customFormat="1" ht="30" customHeight="1" x14ac:dyDescent="0.25">
      <c r="A2925" s="10" t="s">
        <v>2018</v>
      </c>
      <c r="B2925" s="346" t="s">
        <v>2019</v>
      </c>
      <c r="C2925" s="347"/>
      <c r="D2925" s="348"/>
      <c r="E2925" s="326">
        <v>139.62</v>
      </c>
      <c r="F2925" s="5" t="s">
        <v>9</v>
      </c>
      <c r="G2925" s="697"/>
      <c r="H2925" s="698"/>
      <c r="I2925" s="10">
        <v>1.06</v>
      </c>
      <c r="J2925" s="886"/>
      <c r="K2925" s="326">
        <f>+E2925*I2925</f>
        <v>147.99720000000002</v>
      </c>
      <c r="L2925" s="10" t="s">
        <v>9</v>
      </c>
      <c r="M2925" s="502"/>
      <c r="N2925" s="502"/>
      <c r="O2925" s="27"/>
    </row>
    <row r="2926" spans="1:21" ht="30" customHeight="1" x14ac:dyDescent="0.25">
      <c r="A2926" s="10" t="s">
        <v>691</v>
      </c>
      <c r="B2926" s="323" t="s">
        <v>2020</v>
      </c>
      <c r="C2926" s="324"/>
      <c r="D2926" s="324"/>
      <c r="E2926" s="326">
        <v>2.84</v>
      </c>
      <c r="F2926" s="844" t="s">
        <v>9</v>
      </c>
      <c r="G2926" s="697"/>
      <c r="H2926" s="698"/>
      <c r="I2926" s="10">
        <v>1.06</v>
      </c>
      <c r="J2926" s="886"/>
      <c r="K2926" s="326">
        <f>+E2926*I2926</f>
        <v>3.0104000000000002</v>
      </c>
      <c r="L2926" s="10" t="s">
        <v>9</v>
      </c>
      <c r="M2926" s="670"/>
      <c r="N2926" s="671"/>
    </row>
    <row r="2927" spans="1:21" ht="30" customHeight="1" x14ac:dyDescent="0.25">
      <c r="A2927" s="10" t="s">
        <v>689</v>
      </c>
      <c r="B2927" s="323" t="s">
        <v>2021</v>
      </c>
      <c r="C2927" s="324"/>
      <c r="D2927" s="325"/>
      <c r="E2927" s="326">
        <v>53500</v>
      </c>
      <c r="F2927" s="697" t="s">
        <v>11</v>
      </c>
      <c r="G2927" s="697">
        <v>3</v>
      </c>
      <c r="H2927" s="698" t="s">
        <v>11</v>
      </c>
      <c r="I2927" s="10">
        <v>1.06</v>
      </c>
      <c r="J2927" s="886"/>
      <c r="K2927" s="326">
        <f t="shared" ref="K2927:K2933" si="52">+E2927*G2927*I2927/$H$2923</f>
        <v>4.8519849418206711</v>
      </c>
      <c r="L2927" s="10" t="s">
        <v>9</v>
      </c>
      <c r="M2927" s="670"/>
      <c r="N2927" s="671"/>
      <c r="P2927" s="43"/>
      <c r="Q2927" s="43"/>
      <c r="R2927" s="43"/>
      <c r="S2927" s="60"/>
      <c r="T2927" s="60"/>
      <c r="U2927" s="43"/>
    </row>
    <row r="2928" spans="1:21" ht="30" customHeight="1" x14ac:dyDescent="0.25">
      <c r="A2928" s="10" t="s">
        <v>664</v>
      </c>
      <c r="B2928" s="323" t="s">
        <v>2022</v>
      </c>
      <c r="C2928" s="324"/>
      <c r="D2928" s="325"/>
      <c r="E2928" s="326">
        <f>(19.15+29.75)/2</f>
        <v>24.45</v>
      </c>
      <c r="F2928" s="697" t="s">
        <v>9</v>
      </c>
      <c r="G2928" s="697">
        <v>162</v>
      </c>
      <c r="H2928" s="698" t="s">
        <v>9</v>
      </c>
      <c r="I2928" s="10">
        <v>1.02</v>
      </c>
      <c r="J2928" s="886"/>
      <c r="K2928" s="326">
        <f>+E2928*G2928*I2928/$H$2923</f>
        <v>0.11522125256673511</v>
      </c>
      <c r="L2928" s="10" t="s">
        <v>9</v>
      </c>
      <c r="M2928" s="419"/>
      <c r="N2928" s="420"/>
      <c r="P2928" s="43"/>
      <c r="Q2928" s="43"/>
      <c r="R2928" s="43"/>
      <c r="S2928" s="60"/>
      <c r="T2928" s="60"/>
      <c r="U2928" s="43"/>
    </row>
    <row r="2929" spans="1:21" s="41" customFormat="1" ht="30" customHeight="1" x14ac:dyDescent="0.25">
      <c r="A2929" s="10" t="s">
        <v>664</v>
      </c>
      <c r="B2929" s="323" t="s">
        <v>2023</v>
      </c>
      <c r="C2929" s="324"/>
      <c r="D2929" s="325"/>
      <c r="E2929" s="326">
        <f>(1610+2280)/2</f>
        <v>1945</v>
      </c>
      <c r="F2929" s="697" t="s">
        <v>11</v>
      </c>
      <c r="G2929" s="697">
        <v>2</v>
      </c>
      <c r="H2929" s="698" t="s">
        <v>11</v>
      </c>
      <c r="I2929" s="10">
        <v>1.02</v>
      </c>
      <c r="J2929" s="886"/>
      <c r="K2929" s="326">
        <f>+E2929*G2929*I2929/$H$2923</f>
        <v>0.11315879534565366</v>
      </c>
      <c r="L2929" s="10" t="s">
        <v>9</v>
      </c>
      <c r="M2929" s="419"/>
      <c r="N2929" s="420"/>
      <c r="O2929" s="42"/>
    </row>
    <row r="2930" spans="1:21" s="49" customFormat="1" ht="30" customHeight="1" x14ac:dyDescent="0.25">
      <c r="A2930" s="10" t="s">
        <v>668</v>
      </c>
      <c r="B2930" s="323" t="s">
        <v>1395</v>
      </c>
      <c r="C2930" s="324"/>
      <c r="D2930" s="325"/>
      <c r="E2930" s="326">
        <f>(31.5+75)*10/2</f>
        <v>532.5</v>
      </c>
      <c r="F2930" s="697" t="s">
        <v>11</v>
      </c>
      <c r="G2930" s="697">
        <v>2</v>
      </c>
      <c r="H2930" s="698" t="s">
        <v>11</v>
      </c>
      <c r="I2930" s="10">
        <v>1.04</v>
      </c>
      <c r="J2930" s="886"/>
      <c r="K2930" s="326">
        <f t="shared" si="52"/>
        <v>3.1587953456536623E-2</v>
      </c>
      <c r="L2930" s="10" t="s">
        <v>9</v>
      </c>
      <c r="M2930" s="419"/>
      <c r="N2930" s="420"/>
      <c r="O2930" s="27"/>
    </row>
    <row r="2931" spans="1:21" ht="30" customHeight="1" x14ac:dyDescent="0.25">
      <c r="A2931" s="10" t="s">
        <v>668</v>
      </c>
      <c r="B2931" s="323" t="s">
        <v>2024</v>
      </c>
      <c r="C2931" s="324"/>
      <c r="D2931" s="325"/>
      <c r="E2931" s="326">
        <f>(5900+11300)/2</f>
        <v>8600</v>
      </c>
      <c r="F2931" s="697" t="s">
        <v>11</v>
      </c>
      <c r="G2931" s="697">
        <v>2</v>
      </c>
      <c r="H2931" s="698" t="s">
        <v>11</v>
      </c>
      <c r="I2931" s="10">
        <v>1.04</v>
      </c>
      <c r="J2931" s="886"/>
      <c r="K2931" s="326">
        <f t="shared" si="52"/>
        <v>0.51015286333561483</v>
      </c>
      <c r="L2931" s="10" t="s">
        <v>9</v>
      </c>
    </row>
    <row r="2932" spans="1:21" ht="30" customHeight="1" x14ac:dyDescent="0.25">
      <c r="A2932" s="10" t="s">
        <v>668</v>
      </c>
      <c r="B2932" s="323" t="s">
        <v>1360</v>
      </c>
      <c r="C2932" s="324"/>
      <c r="D2932" s="325"/>
      <c r="E2932" s="326">
        <f>(605+925)/2</f>
        <v>765</v>
      </c>
      <c r="F2932" s="697" t="s">
        <v>11</v>
      </c>
      <c r="G2932" s="697">
        <v>2</v>
      </c>
      <c r="H2932" s="698" t="s">
        <v>11</v>
      </c>
      <c r="I2932" s="10">
        <v>1.04</v>
      </c>
      <c r="J2932" s="886"/>
      <c r="K2932" s="326">
        <f t="shared" si="52"/>
        <v>4.5379876796714583E-2</v>
      </c>
      <c r="L2932" s="10" t="s">
        <v>9</v>
      </c>
      <c r="P2932" s="43"/>
      <c r="Q2932" s="43"/>
      <c r="R2932" s="43"/>
      <c r="S2932" s="60"/>
      <c r="T2932" s="60"/>
      <c r="U2932" s="43"/>
    </row>
    <row r="2933" spans="1:21" ht="30" customHeight="1" x14ac:dyDescent="0.25">
      <c r="A2933" s="10" t="s">
        <v>668</v>
      </c>
      <c r="B2933" s="323" t="s">
        <v>673</v>
      </c>
      <c r="C2933" s="324"/>
      <c r="D2933" s="325"/>
      <c r="E2933" s="326">
        <f>(1060+3175)/2</f>
        <v>2117.5</v>
      </c>
      <c r="F2933" s="697" t="s">
        <v>11</v>
      </c>
      <c r="G2933" s="697">
        <v>2</v>
      </c>
      <c r="H2933" s="698" t="s">
        <v>11</v>
      </c>
      <c r="I2933" s="10">
        <v>1.04</v>
      </c>
      <c r="J2933" s="886"/>
      <c r="K2933" s="326">
        <f t="shared" si="52"/>
        <v>0.1256103125712982</v>
      </c>
      <c r="L2933" s="10" t="s">
        <v>9</v>
      </c>
      <c r="P2933" s="43"/>
      <c r="Q2933" s="43"/>
      <c r="R2933" s="43"/>
      <c r="S2933" s="60"/>
      <c r="T2933" s="60"/>
      <c r="U2933" s="43"/>
    </row>
    <row r="2934" spans="1:21" s="41" customFormat="1" ht="30" customHeight="1" x14ac:dyDescent="0.25">
      <c r="A2934" s="1331"/>
      <c r="B2934" s="551"/>
      <c r="C2934" s="551"/>
      <c r="D2934" s="551"/>
      <c r="E2934" s="326"/>
      <c r="F2934" s="10"/>
      <c r="G2934" s="1055"/>
      <c r="H2934" s="10"/>
      <c r="I2934" s="10"/>
      <c r="J2934" s="10" t="s">
        <v>578</v>
      </c>
      <c r="K2934" s="326">
        <f>SUM(K2925:K2933)</f>
        <v>156.80069599589319</v>
      </c>
      <c r="L2934" s="10" t="s">
        <v>9</v>
      </c>
      <c r="M2934" s="502"/>
      <c r="N2934" s="502"/>
      <c r="O2934" s="42"/>
    </row>
    <row r="2935" spans="1:21" s="49" customFormat="1" ht="30" customHeight="1" x14ac:dyDescent="0.25">
      <c r="A2935" s="61"/>
      <c r="B2935" s="410"/>
      <c r="C2935" s="410"/>
      <c r="D2935" s="410"/>
      <c r="E2935" s="405"/>
      <c r="F2935" s="338" t="s">
        <v>533</v>
      </c>
      <c r="G2935" s="339" t="s">
        <v>534</v>
      </c>
      <c r="H2935" s="339"/>
      <c r="I2935" s="339"/>
      <c r="J2935" s="339"/>
      <c r="K2935" s="340">
        <v>1.07</v>
      </c>
      <c r="L2935" s="10"/>
      <c r="M2935" s="341"/>
      <c r="N2935" s="342"/>
      <c r="O2935" s="27"/>
    </row>
    <row r="2936" spans="1:21" ht="30" customHeight="1" x14ac:dyDescent="0.25">
      <c r="A2936" s="61"/>
      <c r="B2936" s="410"/>
      <c r="C2936" s="410"/>
      <c r="D2936" s="410"/>
      <c r="E2936" s="405"/>
      <c r="F2936" s="343"/>
      <c r="G2936" s="344" t="s">
        <v>535</v>
      </c>
      <c r="H2936" s="344"/>
      <c r="I2936" s="344"/>
      <c r="J2936" s="344"/>
      <c r="K2936" s="340">
        <v>1.02</v>
      </c>
      <c r="L2936" s="10"/>
    </row>
    <row r="2937" spans="1:21" ht="30" customHeight="1" x14ac:dyDescent="0.25">
      <c r="A2937" s="10"/>
      <c r="B2937" s="10"/>
      <c r="C2937" s="13"/>
      <c r="D2937" s="13"/>
      <c r="E2937" s="13"/>
      <c r="F2937" s="13"/>
      <c r="G2937" s="13"/>
      <c r="H2937" s="13"/>
      <c r="I2937" s="13"/>
      <c r="J2937" s="13" t="s">
        <v>358</v>
      </c>
      <c r="K2937" s="14">
        <f>+K2934*K2935/K2936</f>
        <v>164.48700462314287</v>
      </c>
      <c r="L2937" s="10" t="s">
        <v>9</v>
      </c>
      <c r="P2937" s="43"/>
      <c r="Q2937" s="43"/>
      <c r="R2937" s="43"/>
      <c r="S2937" s="60"/>
      <c r="T2937" s="60"/>
      <c r="U2937" s="43"/>
    </row>
    <row r="2938" spans="1:21" ht="30" customHeight="1" x14ac:dyDescent="0.25">
      <c r="A2938" s="10"/>
      <c r="B2938" s="10"/>
      <c r="C2938" s="13"/>
      <c r="D2938" s="13"/>
      <c r="E2938" s="13"/>
      <c r="F2938" s="13"/>
      <c r="G2938" s="556"/>
      <c r="H2938" s="13"/>
      <c r="I2938" s="969" t="s">
        <v>652</v>
      </c>
      <c r="J2938" s="361">
        <f>VLOOKUP(B2923,'Mil Cost Premiums for RUCs'!$A$4:$R$265,18,FALSE)</f>
        <v>1.3319480854780448</v>
      </c>
      <c r="K2938" s="14">
        <f>+K2937*J2938</f>
        <v>219.08815089381343</v>
      </c>
      <c r="L2938" s="10" t="s">
        <v>9</v>
      </c>
      <c r="P2938" s="43"/>
      <c r="Q2938" s="43"/>
      <c r="R2938" s="43"/>
      <c r="S2938" s="60"/>
      <c r="T2938" s="60"/>
      <c r="U2938" s="43"/>
    </row>
    <row r="2939" spans="1:21" s="41" customFormat="1" ht="75" customHeight="1" x14ac:dyDescent="0.25">
      <c r="A2939" s="580" t="s">
        <v>538</v>
      </c>
      <c r="B2939" s="532"/>
      <c r="C2939" s="532"/>
      <c r="D2939" s="532"/>
      <c r="E2939" s="532"/>
      <c r="F2939" s="532"/>
      <c r="G2939" s="532"/>
      <c r="H2939" s="532"/>
      <c r="I2939" s="532"/>
      <c r="J2939" s="532"/>
      <c r="K2939" s="532"/>
      <c r="L2939" s="533"/>
      <c r="M2939" s="502"/>
      <c r="N2939" s="502"/>
      <c r="O2939" s="42"/>
    </row>
    <row r="2940" spans="1:21" s="49" customFormat="1" ht="30" customHeight="1" x14ac:dyDescent="0.25">
      <c r="A2940" s="217" t="s">
        <v>539</v>
      </c>
      <c r="B2940" s="218"/>
      <c r="C2940" s="219"/>
      <c r="D2940" s="386" t="s">
        <v>2025</v>
      </c>
      <c r="E2940" s="849"/>
      <c r="F2940" s="849"/>
      <c r="G2940" s="849"/>
      <c r="H2940" s="849"/>
      <c r="I2940" s="849"/>
      <c r="J2940" s="849"/>
      <c r="K2940" s="849"/>
      <c r="L2940" s="850"/>
      <c r="M2940" s="341"/>
      <c r="N2940" s="342"/>
      <c r="O2940" s="27"/>
    </row>
    <row r="2941" spans="1:21" ht="30" customHeight="1" x14ac:dyDescent="0.25">
      <c r="A2941" s="217" t="s">
        <v>541</v>
      </c>
      <c r="B2941" s="218"/>
      <c r="C2941" s="219"/>
      <c r="D2941" s="386" t="s">
        <v>2026</v>
      </c>
      <c r="E2941" s="849"/>
      <c r="F2941" s="849"/>
      <c r="G2941" s="849"/>
      <c r="H2941" s="849"/>
      <c r="I2941" s="849"/>
      <c r="J2941" s="849"/>
      <c r="K2941" s="849"/>
      <c r="L2941" s="850"/>
    </row>
    <row r="2942" spans="1:21" ht="30" customHeight="1" x14ac:dyDescent="0.25">
      <c r="A2942" s="217" t="s">
        <v>543</v>
      </c>
      <c r="B2942" s="218"/>
      <c r="C2942" s="219"/>
      <c r="D2942" s="386" t="s">
        <v>2027</v>
      </c>
      <c r="E2942" s="849"/>
      <c r="F2942" s="849"/>
      <c r="G2942" s="849"/>
      <c r="H2942" s="849"/>
      <c r="I2942" s="849"/>
      <c r="J2942" s="849"/>
      <c r="K2942" s="849"/>
      <c r="L2942" s="850"/>
      <c r="M2942" s="43"/>
      <c r="O2942"/>
      <c r="P2942" s="412"/>
      <c r="Q2942" s="391"/>
      <c r="R2942" s="393"/>
    </row>
    <row r="2943" spans="1:21" ht="30" customHeight="1" x14ac:dyDescent="0.25">
      <c r="A2943" s="217" t="s">
        <v>546</v>
      </c>
      <c r="B2943" s="218"/>
      <c r="C2943" s="219"/>
      <c r="D2943" s="386" t="s">
        <v>2028</v>
      </c>
      <c r="E2943" s="849"/>
      <c r="F2943" s="849"/>
      <c r="G2943" s="849"/>
      <c r="H2943" s="849"/>
      <c r="I2943" s="849"/>
      <c r="J2943" s="849"/>
      <c r="K2943" s="849"/>
      <c r="L2943" s="850"/>
      <c r="O2943"/>
      <c r="P2943" s="412"/>
      <c r="Q2943" s="391"/>
      <c r="R2943" s="393"/>
    </row>
    <row r="2944" spans="1:21" ht="75" customHeight="1" x14ac:dyDescent="0.25">
      <c r="A2944" s="217" t="s">
        <v>548</v>
      </c>
      <c r="B2944" s="218"/>
      <c r="C2944" s="219"/>
      <c r="D2944" s="386" t="s">
        <v>2029</v>
      </c>
      <c r="E2944" s="849"/>
      <c r="F2944" s="849"/>
      <c r="G2944" s="849"/>
      <c r="H2944" s="849"/>
      <c r="I2944" s="849"/>
      <c r="J2944" s="849"/>
      <c r="K2944" s="849"/>
      <c r="L2944" s="850"/>
      <c r="M2944" s="502"/>
      <c r="N2944" s="502"/>
      <c r="O2944"/>
      <c r="P2944" s="412"/>
      <c r="Q2944" s="391"/>
      <c r="R2944" s="393"/>
    </row>
    <row r="2945" spans="1:18" s="49" customFormat="1" ht="30" customHeight="1" x14ac:dyDescent="0.25">
      <c r="A2945" s="217" t="s">
        <v>550</v>
      </c>
      <c r="B2945" s="218"/>
      <c r="C2945" s="219"/>
      <c r="D2945" s="386" t="s">
        <v>551</v>
      </c>
      <c r="E2945" s="849"/>
      <c r="F2945" s="849"/>
      <c r="G2945" s="849"/>
      <c r="H2945" s="849"/>
      <c r="I2945" s="849"/>
      <c r="J2945" s="849"/>
      <c r="K2945" s="849"/>
      <c r="L2945" s="850"/>
      <c r="M2945" s="341"/>
      <c r="N2945" s="342"/>
      <c r="P2945" s="412"/>
      <c r="Q2945" s="391"/>
      <c r="R2945" s="393"/>
    </row>
    <row r="2946" spans="1:18" ht="30" customHeight="1" x14ac:dyDescent="0.25">
      <c r="A2946" s="217" t="s">
        <v>552</v>
      </c>
      <c r="B2946" s="218"/>
      <c r="C2946" s="219"/>
      <c r="D2946" s="386" t="s">
        <v>2030</v>
      </c>
      <c r="E2946" s="849"/>
      <c r="F2946" s="849"/>
      <c r="G2946" s="849"/>
      <c r="H2946" s="849"/>
      <c r="I2946" s="849"/>
      <c r="J2946" s="849"/>
      <c r="K2946" s="849"/>
      <c r="L2946" s="850"/>
      <c r="O2946"/>
      <c r="P2946" s="412"/>
      <c r="Q2946" s="391"/>
      <c r="R2946" s="393"/>
    </row>
    <row r="2947" spans="1:18" ht="75" customHeight="1" x14ac:dyDescent="0.25">
      <c r="A2947" s="217" t="s">
        <v>553</v>
      </c>
      <c r="B2947" s="218"/>
      <c r="C2947" s="219"/>
      <c r="D2947" s="386" t="s">
        <v>660</v>
      </c>
      <c r="E2947" s="849"/>
      <c r="F2947" s="849"/>
      <c r="G2947" s="849"/>
      <c r="H2947" s="849"/>
      <c r="I2947" s="849"/>
      <c r="J2947" s="849"/>
      <c r="K2947" s="849"/>
      <c r="L2947" s="850"/>
      <c r="M2947" s="43"/>
      <c r="O2947"/>
      <c r="P2947" s="412"/>
      <c r="Q2947" s="391"/>
      <c r="R2947" s="393"/>
    </row>
    <row r="2948" spans="1:18" ht="124.5" customHeight="1" thickBot="1" x14ac:dyDescent="0.3">
      <c r="A2948" s="217" t="s">
        <v>556</v>
      </c>
      <c r="B2948" s="218"/>
      <c r="C2948" s="219"/>
      <c r="D2948" s="386" t="s">
        <v>3388</v>
      </c>
      <c r="E2948" s="849"/>
      <c r="F2948" s="849"/>
      <c r="G2948" s="849"/>
      <c r="H2948" s="849"/>
      <c r="I2948" s="849"/>
      <c r="J2948" s="849"/>
      <c r="K2948" s="849"/>
      <c r="L2948" s="850"/>
      <c r="M2948" s="986"/>
      <c r="N2948" s="1865"/>
      <c r="O2948"/>
      <c r="P2948" s="412"/>
      <c r="Q2948" s="391"/>
      <c r="R2948" s="393"/>
    </row>
    <row r="2949" spans="1:18" ht="30" customHeight="1" thickBot="1" x14ac:dyDescent="0.3">
      <c r="A2949" s="76"/>
      <c r="B2949" s="77"/>
      <c r="C2949" s="77"/>
      <c r="D2949" s="77"/>
      <c r="E2949" s="77"/>
      <c r="F2949" s="77"/>
      <c r="G2949" s="77"/>
      <c r="H2949" s="77"/>
      <c r="I2949" s="77"/>
      <c r="J2949" s="77"/>
      <c r="K2949" s="77"/>
      <c r="L2949" s="78"/>
      <c r="M2949" s="502"/>
      <c r="N2949" s="502"/>
      <c r="O2949"/>
      <c r="P2949" s="412"/>
      <c r="Q2949" s="391"/>
      <c r="R2949" s="393"/>
    </row>
    <row r="2950" spans="1:18" ht="30" customHeight="1" x14ac:dyDescent="0.25">
      <c r="A2950" s="30" t="s">
        <v>288</v>
      </c>
      <c r="B2950" s="208">
        <v>7218</v>
      </c>
      <c r="C2950" s="282" t="s">
        <v>2031</v>
      </c>
      <c r="D2950" s="283"/>
      <c r="E2950" s="177" t="s">
        <v>291</v>
      </c>
      <c r="F2950" s="178" t="s">
        <v>9</v>
      </c>
      <c r="G2950" s="123" t="s">
        <v>375</v>
      </c>
      <c r="H2950" s="761">
        <v>30112</v>
      </c>
      <c r="I2950" s="177" t="s">
        <v>292</v>
      </c>
      <c r="J2950" s="38" t="s">
        <v>2032</v>
      </c>
      <c r="K2950" s="39"/>
      <c r="L2950" s="40"/>
      <c r="M2950" s="341"/>
      <c r="N2950" s="342"/>
      <c r="O2950"/>
      <c r="P2950" s="412"/>
      <c r="Q2950" s="391"/>
      <c r="R2950" s="393"/>
    </row>
    <row r="2951" spans="1:18" ht="30" customHeight="1" x14ac:dyDescent="0.25">
      <c r="A2951" s="44" t="s">
        <v>517</v>
      </c>
      <c r="B2951" s="180" t="s">
        <v>295</v>
      </c>
      <c r="C2951" s="180"/>
      <c r="D2951" s="180"/>
      <c r="E2951" s="182" t="s">
        <v>518</v>
      </c>
      <c r="F2951" s="285" t="s">
        <v>519</v>
      </c>
      <c r="G2951" s="181"/>
      <c r="H2951" s="181"/>
      <c r="I2951" s="286" t="s">
        <v>520</v>
      </c>
      <c r="J2951" s="287"/>
      <c r="K2951" s="288" t="s">
        <v>521</v>
      </c>
      <c r="L2951" s="289"/>
      <c r="O2951"/>
      <c r="P2951" s="412"/>
      <c r="Q2951" s="391"/>
      <c r="R2951" s="393"/>
    </row>
    <row r="2952" spans="1:18" ht="30" customHeight="1" x14ac:dyDescent="0.25">
      <c r="A2952" s="65" t="s">
        <v>522</v>
      </c>
      <c r="B2952" s="214" t="s">
        <v>2033</v>
      </c>
      <c r="C2952" s="214"/>
      <c r="D2952" s="214"/>
      <c r="E2952" s="291">
        <v>130000</v>
      </c>
      <c r="F2952" s="292">
        <v>207</v>
      </c>
      <c r="G2952" s="293"/>
      <c r="H2952" s="294"/>
      <c r="I2952" s="295">
        <f>+'MILCON Inflation Table'!F13</f>
        <v>1.0397823869432166</v>
      </c>
      <c r="J2952" s="296"/>
      <c r="K2952" s="292">
        <f>+F2952*I2952</f>
        <v>215.23495409724583</v>
      </c>
      <c r="L2952" s="290" t="s">
        <v>9</v>
      </c>
      <c r="M2952" s="43"/>
      <c r="O2952"/>
      <c r="P2952" s="412"/>
      <c r="Q2952" s="391"/>
      <c r="R2952" s="393"/>
    </row>
    <row r="2953" spans="1:18" ht="30" customHeight="1" thickBot="1" x14ac:dyDescent="0.3">
      <c r="A2953" s="61"/>
      <c r="B2953" s="191"/>
      <c r="C2953" s="191"/>
      <c r="D2953" s="191"/>
      <c r="E2953" s="297"/>
      <c r="F2953" s="298"/>
      <c r="G2953" s="298"/>
      <c r="H2953" s="299"/>
      <c r="I2953" s="18"/>
      <c r="J2953" s="185" t="s">
        <v>358</v>
      </c>
      <c r="K2953" s="301">
        <f>+K2952</f>
        <v>215.23495409724583</v>
      </c>
      <c r="L2953" s="20" t="s">
        <v>9</v>
      </c>
      <c r="M2953" s="419"/>
      <c r="N2953" s="420"/>
      <c r="O2953"/>
      <c r="P2953" s="412"/>
      <c r="Q2953" s="391"/>
      <c r="R2953" s="393"/>
    </row>
    <row r="2954" spans="1:18" ht="30" customHeight="1" thickBot="1" x14ac:dyDescent="0.3">
      <c r="A2954" s="76"/>
      <c r="B2954" s="77"/>
      <c r="C2954" s="77"/>
      <c r="D2954" s="77"/>
      <c r="E2954" s="77"/>
      <c r="F2954" s="77"/>
      <c r="G2954" s="77"/>
      <c r="H2954" s="77"/>
      <c r="I2954" s="77"/>
      <c r="J2954" s="77"/>
      <c r="K2954" s="77"/>
      <c r="L2954" s="78"/>
      <c r="M2954" s="425"/>
      <c r="N2954" s="420"/>
      <c r="O2954"/>
      <c r="P2954" s="412"/>
      <c r="Q2954" s="391"/>
      <c r="R2954" s="393"/>
    </row>
    <row r="2955" spans="1:18" ht="30" customHeight="1" x14ac:dyDescent="0.25">
      <c r="A2955" s="30" t="s">
        <v>288</v>
      </c>
      <c r="B2955" s="208">
        <v>7220</v>
      </c>
      <c r="C2955" s="282" t="s">
        <v>2034</v>
      </c>
      <c r="D2955" s="283"/>
      <c r="E2955" s="177" t="s">
        <v>291</v>
      </c>
      <c r="F2955" s="178" t="s">
        <v>9</v>
      </c>
      <c r="G2955" s="123" t="s">
        <v>375</v>
      </c>
      <c r="H2955" s="761">
        <v>6890</v>
      </c>
      <c r="I2955" s="177" t="s">
        <v>292</v>
      </c>
      <c r="J2955" s="38" t="s">
        <v>516</v>
      </c>
      <c r="K2955" s="39"/>
      <c r="L2955" s="40"/>
      <c r="M2955" s="419"/>
      <c r="N2955" s="420"/>
      <c r="O2955"/>
      <c r="P2955" s="412"/>
      <c r="Q2955" s="391"/>
      <c r="R2955" s="393"/>
    </row>
    <row r="2956" spans="1:18" ht="30" customHeight="1" x14ac:dyDescent="0.25">
      <c r="A2956" s="44" t="s">
        <v>517</v>
      </c>
      <c r="B2956" s="180" t="s">
        <v>295</v>
      </c>
      <c r="C2956" s="180"/>
      <c r="D2956" s="180"/>
      <c r="E2956" s="182" t="s">
        <v>518</v>
      </c>
      <c r="F2956" s="285" t="s">
        <v>519</v>
      </c>
      <c r="G2956" s="181"/>
      <c r="H2956" s="181"/>
      <c r="I2956" s="286" t="s">
        <v>520</v>
      </c>
      <c r="J2956" s="287"/>
      <c r="K2956" s="288" t="s">
        <v>521</v>
      </c>
      <c r="L2956" s="289"/>
      <c r="M2956" s="419"/>
      <c r="N2956" s="420"/>
      <c r="O2956" s="43"/>
      <c r="P2956" s="672"/>
      <c r="Q2956" s="671"/>
      <c r="R2956" s="673"/>
    </row>
    <row r="2957" spans="1:18" ht="30" customHeight="1" x14ac:dyDescent="0.25">
      <c r="A2957" s="65" t="s">
        <v>522</v>
      </c>
      <c r="B2957" s="476" t="s">
        <v>2035</v>
      </c>
      <c r="C2957" s="477"/>
      <c r="D2957" s="478"/>
      <c r="E2957" s="291">
        <v>29000</v>
      </c>
      <c r="F2957" s="292">
        <v>357</v>
      </c>
      <c r="G2957" s="293"/>
      <c r="H2957" s="294"/>
      <c r="I2957" s="295" t="s">
        <v>1958</v>
      </c>
      <c r="J2957" s="296"/>
      <c r="K2957" s="292">
        <f>+F2957</f>
        <v>357</v>
      </c>
      <c r="L2957" s="290" t="s">
        <v>9</v>
      </c>
      <c r="M2957" s="1335"/>
      <c r="N2957" s="1928"/>
      <c r="O2957" s="43"/>
      <c r="P2957" s="672"/>
      <c r="Q2957" s="671"/>
      <c r="R2957" s="673"/>
    </row>
    <row r="2958" spans="1:18" ht="30" customHeight="1" thickBot="1" x14ac:dyDescent="0.3">
      <c r="A2958" s="61"/>
      <c r="B2958" s="1213"/>
      <c r="C2958" s="1214"/>
      <c r="D2958" s="1215"/>
      <c r="E2958" s="1327"/>
      <c r="F2958" s="1328"/>
      <c r="G2958" s="1328"/>
      <c r="H2958" s="1329"/>
      <c r="I2958" s="18"/>
      <c r="J2958" s="185" t="s">
        <v>358</v>
      </c>
      <c r="K2958" s="301">
        <f>+K2957</f>
        <v>357</v>
      </c>
      <c r="L2958" s="20" t="s">
        <v>9</v>
      </c>
      <c r="M2958" s="1335"/>
      <c r="N2958" s="1928"/>
      <c r="O2958"/>
      <c r="P2958" s="412"/>
      <c r="Q2958" s="391"/>
      <c r="R2958" s="393"/>
    </row>
    <row r="2959" spans="1:18" ht="30" customHeight="1" thickBot="1" x14ac:dyDescent="0.3">
      <c r="A2959" s="76"/>
      <c r="B2959" s="77"/>
      <c r="C2959" s="77"/>
      <c r="D2959" s="77"/>
      <c r="E2959" s="77"/>
      <c r="F2959" s="77"/>
      <c r="G2959" s="77"/>
      <c r="H2959" s="77"/>
      <c r="I2959" s="77"/>
      <c r="J2959" s="77"/>
      <c r="K2959" s="77"/>
      <c r="L2959" s="78"/>
      <c r="M2959" s="419"/>
      <c r="N2959" s="420"/>
      <c r="O2959"/>
      <c r="P2959" s="412"/>
      <c r="Q2959" s="391"/>
      <c r="R2959" s="393"/>
    </row>
    <row r="2960" spans="1:18" ht="30" customHeight="1" x14ac:dyDescent="0.25">
      <c r="A2960" s="417" t="s">
        <v>288</v>
      </c>
      <c r="B2960" s="418">
        <v>7231</v>
      </c>
      <c r="C2960" s="1253" t="s">
        <v>2036</v>
      </c>
      <c r="D2960" s="748"/>
      <c r="E2960" s="540" t="s">
        <v>291</v>
      </c>
      <c r="F2960" s="541" t="s">
        <v>9</v>
      </c>
      <c r="G2960" s="123" t="s">
        <v>375</v>
      </c>
      <c r="H2960" s="600">
        <v>2949</v>
      </c>
      <c r="I2960" s="540" t="s">
        <v>292</v>
      </c>
      <c r="J2960" s="38" t="s">
        <v>883</v>
      </c>
      <c r="K2960" s="38"/>
      <c r="L2960" s="389"/>
      <c r="M2960" s="419"/>
      <c r="N2960" s="420"/>
      <c r="O2960"/>
      <c r="P2960" s="412"/>
      <c r="Q2960" s="391"/>
      <c r="R2960" s="393"/>
    </row>
    <row r="2961" spans="1:21" ht="30" customHeight="1" x14ac:dyDescent="0.25">
      <c r="A2961" s="421" t="s">
        <v>529</v>
      </c>
      <c r="B2961" s="543" t="s">
        <v>560</v>
      </c>
      <c r="C2961" s="544"/>
      <c r="D2961" s="545"/>
      <c r="E2961" s="546" t="s">
        <v>519</v>
      </c>
      <c r="F2961" s="546" t="s">
        <v>561</v>
      </c>
      <c r="G2961" s="547" t="s">
        <v>562</v>
      </c>
      <c r="H2961" s="548"/>
      <c r="I2961" s="424" t="s">
        <v>530</v>
      </c>
      <c r="J2961" s="424"/>
      <c r="K2961" s="288" t="s">
        <v>521</v>
      </c>
      <c r="L2961" s="289"/>
      <c r="M2961" s="419"/>
      <c r="N2961" s="420"/>
      <c r="O2961"/>
      <c r="P2961" s="412"/>
      <c r="Q2961" s="391"/>
      <c r="R2961" s="393"/>
    </row>
    <row r="2962" spans="1:21" ht="30" customHeight="1" x14ac:dyDescent="0.25">
      <c r="A2962" s="10" t="s">
        <v>2037</v>
      </c>
      <c r="B2962" s="323" t="s">
        <v>2038</v>
      </c>
      <c r="C2962" s="324"/>
      <c r="D2962" s="325"/>
      <c r="E2962" s="326">
        <v>81.680000000000007</v>
      </c>
      <c r="F2962" s="5" t="s">
        <v>9</v>
      </c>
      <c r="G2962" s="697"/>
      <c r="H2962" s="698"/>
      <c r="I2962" s="10">
        <v>1.06</v>
      </c>
      <c r="J2962" s="10"/>
      <c r="K2962" s="326">
        <f>+E2962*I2962</f>
        <v>86.580800000000011</v>
      </c>
      <c r="L2962" s="10" t="s">
        <v>9</v>
      </c>
      <c r="M2962" s="434"/>
      <c r="N2962" s="105"/>
      <c r="O2962"/>
      <c r="P2962" s="412"/>
      <c r="Q2962" s="391"/>
      <c r="R2962" s="393"/>
    </row>
    <row r="2963" spans="1:21" ht="30" customHeight="1" x14ac:dyDescent="0.25">
      <c r="A2963" s="1332" t="s">
        <v>2039</v>
      </c>
      <c r="B2963" s="346" t="s">
        <v>2040</v>
      </c>
      <c r="C2963" s="347"/>
      <c r="D2963" s="348"/>
      <c r="E2963" s="326">
        <v>110</v>
      </c>
      <c r="F2963" s="5" t="s">
        <v>9</v>
      </c>
      <c r="G2963" s="697"/>
      <c r="H2963" s="698"/>
      <c r="I2963" s="10">
        <v>1.06</v>
      </c>
      <c r="J2963" s="10"/>
      <c r="K2963" s="326">
        <f>+E2963*I2963</f>
        <v>116.60000000000001</v>
      </c>
      <c r="L2963" s="10" t="s">
        <v>9</v>
      </c>
      <c r="M2963" s="434"/>
      <c r="N2963" s="105"/>
      <c r="O2963"/>
      <c r="P2963" s="412"/>
      <c r="Q2963" s="391"/>
      <c r="R2963" s="393"/>
    </row>
    <row r="2964" spans="1:21" ht="30" customHeight="1" x14ac:dyDescent="0.25">
      <c r="A2964" s="1332"/>
      <c r="B2964" s="1257"/>
      <c r="C2964" s="1258"/>
      <c r="D2964" s="922"/>
      <c r="E2964" s="326"/>
      <c r="F2964" s="5"/>
      <c r="G2964" s="1068" t="s">
        <v>2041</v>
      </c>
      <c r="H2964" s="1069"/>
      <c r="I2964" s="1069"/>
      <c r="J2964" s="1070"/>
      <c r="K2964" s="326">
        <f>AVERAGE(K2962:K2963)</f>
        <v>101.59040000000002</v>
      </c>
      <c r="L2964" s="10"/>
      <c r="M2964" s="434"/>
      <c r="N2964" s="105"/>
      <c r="O2964"/>
      <c r="P2964" s="412"/>
      <c r="Q2964" s="391"/>
      <c r="R2964" s="393"/>
    </row>
    <row r="2965" spans="1:21" ht="30" customHeight="1" x14ac:dyDescent="0.25">
      <c r="A2965" s="10" t="s">
        <v>1915</v>
      </c>
      <c r="B2965" s="551" t="s">
        <v>2042</v>
      </c>
      <c r="C2965" s="551"/>
      <c r="D2965" s="551"/>
      <c r="E2965" s="326">
        <v>4.0599999999999996</v>
      </c>
      <c r="F2965" s="10" t="s">
        <v>9</v>
      </c>
      <c r="G2965" s="10"/>
      <c r="H2965" s="10"/>
      <c r="I2965" s="10">
        <v>1.06</v>
      </c>
      <c r="J2965" s="10"/>
      <c r="K2965" s="326">
        <f>+E2965*I2965</f>
        <v>4.3035999999999994</v>
      </c>
      <c r="L2965" s="10" t="s">
        <v>9</v>
      </c>
      <c r="M2965" s="434"/>
      <c r="N2965" s="105"/>
      <c r="O2965"/>
      <c r="P2965" s="412"/>
      <c r="Q2965" s="391"/>
      <c r="R2965" s="393"/>
    </row>
    <row r="2966" spans="1:21" ht="30" customHeight="1" x14ac:dyDescent="0.25">
      <c r="A2966" s="1331"/>
      <c r="B2966" s="551"/>
      <c r="C2966" s="551"/>
      <c r="D2966" s="551"/>
      <c r="E2966" s="326"/>
      <c r="F2966" s="10"/>
      <c r="G2966" s="1055"/>
      <c r="H2966" s="10"/>
      <c r="I2966" s="10"/>
      <c r="J2966" s="10" t="s">
        <v>578</v>
      </c>
      <c r="K2966" s="326">
        <f>SUM(K2964:K2965)</f>
        <v>105.89400000000002</v>
      </c>
      <c r="L2966" s="10" t="s">
        <v>9</v>
      </c>
      <c r="M2966" s="670"/>
      <c r="N2966" s="671"/>
      <c r="O2966"/>
      <c r="P2966" s="412"/>
      <c r="Q2966" s="391"/>
      <c r="R2966" s="393"/>
    </row>
    <row r="2967" spans="1:21" ht="30" customHeight="1" x14ac:dyDescent="0.25">
      <c r="A2967" s="61"/>
      <c r="B2967" s="410"/>
      <c r="C2967" s="410"/>
      <c r="D2967" s="410"/>
      <c r="E2967" s="405"/>
      <c r="F2967" s="338" t="s">
        <v>533</v>
      </c>
      <c r="G2967" s="339" t="s">
        <v>534</v>
      </c>
      <c r="H2967" s="339"/>
      <c r="I2967" s="339"/>
      <c r="J2967" s="339"/>
      <c r="K2967" s="340">
        <v>1.07</v>
      </c>
      <c r="L2967" s="10"/>
      <c r="M2967" s="419"/>
      <c r="N2967" s="420"/>
      <c r="O2967"/>
      <c r="P2967" s="412"/>
      <c r="Q2967" s="391"/>
      <c r="R2967" s="393"/>
    </row>
    <row r="2968" spans="1:21" ht="30" customHeight="1" x14ac:dyDescent="0.25">
      <c r="A2968" s="61"/>
      <c r="B2968" s="410"/>
      <c r="C2968" s="410"/>
      <c r="D2968" s="410"/>
      <c r="E2968" s="405"/>
      <c r="F2968" s="343"/>
      <c r="G2968" s="344" t="s">
        <v>535</v>
      </c>
      <c r="H2968" s="344"/>
      <c r="I2968" s="344"/>
      <c r="J2968" s="344"/>
      <c r="K2968" s="340">
        <v>1.02</v>
      </c>
      <c r="L2968" s="10"/>
      <c r="M2968" s="419"/>
      <c r="N2968" s="420"/>
      <c r="O2968"/>
      <c r="P2968" s="412"/>
      <c r="Q2968" s="391"/>
      <c r="R2968" s="393"/>
    </row>
    <row r="2969" spans="1:21" ht="30" customHeight="1" x14ac:dyDescent="0.25">
      <c r="A2969" s="10"/>
      <c r="B2969" s="10"/>
      <c r="C2969" s="13"/>
      <c r="D2969" s="13"/>
      <c r="E2969" s="13"/>
      <c r="F2969" s="13"/>
      <c r="G2969" s="13"/>
      <c r="H2969" s="13"/>
      <c r="I2969" s="13"/>
      <c r="J2969" s="10" t="s">
        <v>358</v>
      </c>
      <c r="K2969" s="14">
        <f>+K2966*K2967/K2968</f>
        <v>111.08488235294119</v>
      </c>
      <c r="L2969" s="10" t="s">
        <v>9</v>
      </c>
      <c r="M2969" s="419"/>
      <c r="N2969" s="420"/>
      <c r="P2969" s="43"/>
      <c r="Q2969" s="43"/>
      <c r="R2969" s="43"/>
      <c r="S2969" s="60"/>
      <c r="T2969" s="60"/>
      <c r="U2969" s="43"/>
    </row>
    <row r="2970" spans="1:21" ht="30" customHeight="1" x14ac:dyDescent="0.25">
      <c r="A2970" s="10"/>
      <c r="B2970" s="10"/>
      <c r="C2970" s="13"/>
      <c r="D2970" s="13"/>
      <c r="E2970" s="13"/>
      <c r="F2970" s="13"/>
      <c r="G2970" s="556"/>
      <c r="H2970" s="13"/>
      <c r="I2970" s="969" t="s">
        <v>652</v>
      </c>
      <c r="J2970" s="361">
        <f>VLOOKUP(B2960,'Mil Cost Premiums for RUCs'!$A$4:$R$265,18,FALSE)</f>
        <v>1.1690733213045894</v>
      </c>
      <c r="K2970" s="14">
        <f>+K2969*J2970</f>
        <v>129.86637235908253</v>
      </c>
      <c r="L2970" s="10" t="s">
        <v>9</v>
      </c>
      <c r="M2970" s="419"/>
      <c r="N2970" s="420"/>
      <c r="P2970" s="43"/>
      <c r="Q2970" s="43"/>
      <c r="R2970" s="43"/>
      <c r="S2970" s="60"/>
      <c r="T2970" s="60"/>
      <c r="U2970" s="43"/>
    </row>
    <row r="2971" spans="1:21" s="41" customFormat="1" ht="75" customHeight="1" x14ac:dyDescent="0.25">
      <c r="A2971" s="580" t="s">
        <v>538</v>
      </c>
      <c r="B2971" s="532"/>
      <c r="C2971" s="532"/>
      <c r="D2971" s="532"/>
      <c r="E2971" s="532"/>
      <c r="F2971" s="532"/>
      <c r="G2971" s="532"/>
      <c r="H2971" s="532"/>
      <c r="I2971" s="532"/>
      <c r="J2971" s="532"/>
      <c r="K2971" s="532"/>
      <c r="L2971" s="533"/>
      <c r="M2971" s="341"/>
      <c r="N2971" s="341"/>
      <c r="O2971" s="42"/>
    </row>
    <row r="2972" spans="1:21" s="49" customFormat="1" ht="30" customHeight="1" x14ac:dyDescent="0.25">
      <c r="A2972" s="217" t="s">
        <v>539</v>
      </c>
      <c r="B2972" s="218"/>
      <c r="C2972" s="219"/>
      <c r="D2972" s="386" t="s">
        <v>2043</v>
      </c>
      <c r="E2972" s="849"/>
      <c r="F2972" s="849"/>
      <c r="G2972" s="849"/>
      <c r="H2972" s="849"/>
      <c r="I2972" s="849"/>
      <c r="J2972" s="849"/>
      <c r="K2972" s="849"/>
      <c r="L2972" s="850"/>
      <c r="M2972" s="419"/>
      <c r="N2972" s="420"/>
      <c r="O2972" s="27"/>
    </row>
    <row r="2973" spans="1:21" ht="30" customHeight="1" x14ac:dyDescent="0.25">
      <c r="A2973" s="217" t="s">
        <v>541</v>
      </c>
      <c r="B2973" s="218"/>
      <c r="C2973" s="219"/>
      <c r="D2973" s="386" t="s">
        <v>2044</v>
      </c>
      <c r="E2973" s="849"/>
      <c r="F2973" s="849"/>
      <c r="G2973" s="849"/>
      <c r="H2973" s="849"/>
      <c r="I2973" s="849"/>
      <c r="J2973" s="849"/>
      <c r="K2973" s="849"/>
      <c r="L2973" s="850"/>
    </row>
    <row r="2974" spans="1:21" ht="30" customHeight="1" x14ac:dyDescent="0.25">
      <c r="A2974" s="217" t="s">
        <v>543</v>
      </c>
      <c r="B2974" s="218"/>
      <c r="C2974" s="219"/>
      <c r="D2974" s="386" t="s">
        <v>2045</v>
      </c>
      <c r="E2974" s="849"/>
      <c r="F2974" s="849"/>
      <c r="G2974" s="849"/>
      <c r="H2974" s="849"/>
      <c r="I2974" s="849"/>
      <c r="J2974" s="849"/>
      <c r="K2974" s="849"/>
      <c r="L2974" s="850"/>
      <c r="M2974" s="419"/>
      <c r="N2974" s="420"/>
      <c r="P2974" s="43"/>
      <c r="Q2974" s="43"/>
      <c r="R2974" s="43"/>
      <c r="S2974" s="60"/>
      <c r="T2974" s="60"/>
      <c r="U2974" s="43"/>
    </row>
    <row r="2975" spans="1:21" ht="30" customHeight="1" x14ac:dyDescent="0.25">
      <c r="A2975" s="217" t="s">
        <v>546</v>
      </c>
      <c r="B2975" s="218"/>
      <c r="C2975" s="219"/>
      <c r="D2975" s="386" t="s">
        <v>2046</v>
      </c>
      <c r="E2975" s="849"/>
      <c r="F2975" s="849"/>
      <c r="G2975" s="849"/>
      <c r="H2975" s="849"/>
      <c r="I2975" s="849"/>
      <c r="J2975" s="849"/>
      <c r="K2975" s="849"/>
      <c r="L2975" s="850"/>
      <c r="M2975" s="419"/>
      <c r="N2975" s="420"/>
      <c r="P2975" s="43"/>
      <c r="Q2975" s="43"/>
      <c r="R2975" s="43"/>
      <c r="S2975" s="60"/>
      <c r="T2975" s="60"/>
      <c r="U2975" s="43"/>
    </row>
    <row r="2976" spans="1:21" s="41" customFormat="1" ht="30" customHeight="1" x14ac:dyDescent="0.25">
      <c r="A2976" s="217" t="s">
        <v>548</v>
      </c>
      <c r="B2976" s="218"/>
      <c r="C2976" s="219"/>
      <c r="D2976" s="386" t="s">
        <v>2047</v>
      </c>
      <c r="E2976" s="849"/>
      <c r="F2976" s="849"/>
      <c r="G2976" s="849"/>
      <c r="H2976" s="849"/>
      <c r="I2976" s="849"/>
      <c r="J2976" s="849"/>
      <c r="K2976" s="849"/>
      <c r="L2976" s="850"/>
      <c r="M2976" s="419"/>
      <c r="N2976" s="420"/>
      <c r="O2976" s="42"/>
    </row>
    <row r="2977" spans="1:18" s="41" customFormat="1" ht="30" customHeight="1" x14ac:dyDescent="0.25">
      <c r="A2977" s="217" t="s">
        <v>550</v>
      </c>
      <c r="B2977" s="218"/>
      <c r="C2977" s="219"/>
      <c r="D2977" s="386" t="s">
        <v>2048</v>
      </c>
      <c r="E2977" s="849"/>
      <c r="F2977" s="849"/>
      <c r="G2977" s="849"/>
      <c r="H2977" s="849"/>
      <c r="I2977" s="849"/>
      <c r="J2977" s="849"/>
      <c r="K2977" s="849"/>
      <c r="L2977" s="850"/>
      <c r="M2977" s="419"/>
      <c r="N2977" s="420"/>
      <c r="O2977" s="42"/>
    </row>
    <row r="2978" spans="1:18" s="41" customFormat="1" ht="30" customHeight="1" x14ac:dyDescent="0.25">
      <c r="A2978" s="217" t="s">
        <v>552</v>
      </c>
      <c r="B2978" s="218"/>
      <c r="C2978" s="219"/>
      <c r="D2978" s="386" t="s">
        <v>2049</v>
      </c>
      <c r="E2978" s="849"/>
      <c r="F2978" s="849"/>
      <c r="G2978" s="849"/>
      <c r="H2978" s="849"/>
      <c r="I2978" s="849"/>
      <c r="J2978" s="849"/>
      <c r="K2978" s="849"/>
      <c r="L2978" s="850"/>
      <c r="M2978" s="341"/>
      <c r="N2978" s="341"/>
      <c r="O2978" s="42"/>
    </row>
    <row r="2979" spans="1:18" s="49" customFormat="1" ht="75" customHeight="1" x14ac:dyDescent="0.25">
      <c r="A2979" s="217" t="s">
        <v>553</v>
      </c>
      <c r="B2979" s="218"/>
      <c r="C2979" s="219"/>
      <c r="D2979" s="386" t="s">
        <v>660</v>
      </c>
      <c r="E2979" s="849"/>
      <c r="F2979" s="849"/>
      <c r="G2979" s="849"/>
      <c r="H2979" s="849"/>
      <c r="I2979" s="849"/>
      <c r="J2979" s="849"/>
      <c r="K2979" s="849"/>
      <c r="L2979" s="850"/>
      <c r="M2979" s="502"/>
      <c r="N2979" s="502"/>
      <c r="O2979" s="27"/>
    </row>
    <row r="2980" spans="1:18" ht="30" customHeight="1" thickBot="1" x14ac:dyDescent="0.3">
      <c r="A2980" s="217" t="s">
        <v>556</v>
      </c>
      <c r="B2980" s="218"/>
      <c r="C2980" s="219"/>
      <c r="D2980" s="386" t="s">
        <v>2050</v>
      </c>
      <c r="E2980" s="849"/>
      <c r="F2980" s="849"/>
      <c r="G2980" s="849"/>
      <c r="H2980" s="849"/>
      <c r="I2980" s="849"/>
      <c r="J2980" s="849"/>
      <c r="K2980" s="849"/>
      <c r="L2980" s="850"/>
    </row>
    <row r="2981" spans="1:18" ht="30" customHeight="1" thickBot="1" x14ac:dyDescent="0.3">
      <c r="A2981" s="76"/>
      <c r="B2981" s="77"/>
      <c r="C2981" s="77"/>
      <c r="D2981" s="77"/>
      <c r="E2981" s="77"/>
      <c r="F2981" s="77"/>
      <c r="G2981" s="77"/>
      <c r="H2981" s="77"/>
      <c r="I2981" s="77"/>
      <c r="J2981" s="77"/>
      <c r="K2981" s="77"/>
      <c r="L2981" s="78"/>
      <c r="M2981" s="502"/>
      <c r="N2981" s="502"/>
      <c r="O2981"/>
      <c r="P2981" s="412"/>
      <c r="Q2981" s="391"/>
      <c r="R2981" s="393"/>
    </row>
    <row r="2982" spans="1:18" ht="30" customHeight="1" x14ac:dyDescent="0.25">
      <c r="A2982" s="30" t="s">
        <v>288</v>
      </c>
      <c r="B2982" s="208">
        <v>7232</v>
      </c>
      <c r="C2982" s="282" t="s">
        <v>2051</v>
      </c>
      <c r="D2982" s="283"/>
      <c r="E2982" s="177" t="s">
        <v>291</v>
      </c>
      <c r="F2982" s="178" t="s">
        <v>9</v>
      </c>
      <c r="G2982" s="123" t="s">
        <v>375</v>
      </c>
      <c r="H2982" s="539">
        <v>1668</v>
      </c>
      <c r="I2982" s="177" t="s">
        <v>292</v>
      </c>
      <c r="J2982" s="38" t="s">
        <v>516</v>
      </c>
      <c r="K2982" s="39"/>
      <c r="L2982" s="40"/>
      <c r="M2982" s="341"/>
      <c r="N2982" s="342"/>
      <c r="O2982"/>
      <c r="P2982" s="412"/>
      <c r="Q2982" s="391"/>
      <c r="R2982" s="393"/>
    </row>
    <row r="2983" spans="1:18" ht="30" customHeight="1" x14ac:dyDescent="0.25">
      <c r="A2983" s="44" t="s">
        <v>517</v>
      </c>
      <c r="B2983" s="180" t="s">
        <v>295</v>
      </c>
      <c r="C2983" s="180"/>
      <c r="D2983" s="180"/>
      <c r="E2983" s="182" t="s">
        <v>518</v>
      </c>
      <c r="F2983" s="285" t="s">
        <v>519</v>
      </c>
      <c r="G2983" s="181"/>
      <c r="H2983" s="181"/>
      <c r="I2983" s="286" t="s">
        <v>737</v>
      </c>
      <c r="J2983" s="287"/>
      <c r="K2983" s="288" t="s">
        <v>521</v>
      </c>
      <c r="L2983" s="289"/>
      <c r="O2983"/>
      <c r="P2983" s="412"/>
      <c r="Q2983" s="391"/>
      <c r="R2983" s="393"/>
    </row>
    <row r="2984" spans="1:18" s="49" customFormat="1" ht="30" customHeight="1" x14ac:dyDescent="0.25">
      <c r="A2984" s="65" t="s">
        <v>522</v>
      </c>
      <c r="B2984" s="476" t="s">
        <v>2052</v>
      </c>
      <c r="C2984" s="477"/>
      <c r="D2984" s="478"/>
      <c r="E2984" s="291">
        <v>150000</v>
      </c>
      <c r="F2984" s="292">
        <v>54</v>
      </c>
      <c r="G2984" s="293"/>
      <c r="H2984" s="294"/>
      <c r="I2984" s="295" t="s">
        <v>1958</v>
      </c>
      <c r="J2984" s="296"/>
      <c r="K2984" s="292">
        <f>+F2984</f>
        <v>54</v>
      </c>
      <c r="L2984" s="290" t="s">
        <v>9</v>
      </c>
      <c r="M2984" s="1330"/>
      <c r="N2984" s="1117"/>
      <c r="P2984" s="412"/>
      <c r="Q2984" s="391"/>
      <c r="R2984" s="393"/>
    </row>
    <row r="2985" spans="1:18" ht="30" customHeight="1" thickBot="1" x14ac:dyDescent="0.3">
      <c r="A2985" s="61"/>
      <c r="B2985" s="1213"/>
      <c r="C2985" s="1214"/>
      <c r="D2985" s="1215"/>
      <c r="E2985" s="1327"/>
      <c r="F2985" s="1328"/>
      <c r="G2985" s="1328"/>
      <c r="H2985" s="1329"/>
      <c r="I2985" s="18"/>
      <c r="J2985" s="185" t="s">
        <v>358</v>
      </c>
      <c r="K2985" s="301">
        <f>+K2984</f>
        <v>54</v>
      </c>
      <c r="L2985" s="20" t="s">
        <v>9</v>
      </c>
      <c r="O2985"/>
      <c r="P2985" s="412"/>
      <c r="Q2985" s="391"/>
      <c r="R2985" s="393"/>
    </row>
    <row r="2986" spans="1:18" ht="30" customHeight="1" thickBot="1" x14ac:dyDescent="0.3">
      <c r="A2986" s="76"/>
      <c r="B2986" s="77"/>
      <c r="C2986" s="77"/>
      <c r="D2986" s="77"/>
      <c r="E2986" s="77"/>
      <c r="F2986" s="77"/>
      <c r="G2986" s="77"/>
      <c r="H2986" s="77"/>
      <c r="I2986" s="77"/>
      <c r="J2986" s="77"/>
      <c r="K2986" s="77"/>
      <c r="L2986" s="78"/>
      <c r="O2986"/>
      <c r="P2986" s="412"/>
      <c r="Q2986" s="391"/>
      <c r="R2986" s="393"/>
    </row>
    <row r="2987" spans="1:18" ht="30" customHeight="1" x14ac:dyDescent="0.25">
      <c r="A2987" s="30" t="s">
        <v>288</v>
      </c>
      <c r="B2987" s="208">
        <v>7233</v>
      </c>
      <c r="C2987" s="209" t="s">
        <v>2053</v>
      </c>
      <c r="D2987" s="210"/>
      <c r="E2987" s="177" t="s">
        <v>291</v>
      </c>
      <c r="F2987" s="178" t="s">
        <v>9</v>
      </c>
      <c r="G2987" s="123" t="s">
        <v>375</v>
      </c>
      <c r="H2987" s="539">
        <v>4078</v>
      </c>
      <c r="I2987" s="177" t="s">
        <v>292</v>
      </c>
      <c r="J2987" s="38" t="s">
        <v>883</v>
      </c>
      <c r="K2987" s="38"/>
      <c r="L2987" s="389"/>
      <c r="O2987"/>
      <c r="P2987" s="412"/>
      <c r="Q2987" s="391"/>
      <c r="R2987" s="393"/>
    </row>
    <row r="2988" spans="1:18" ht="30" customHeight="1" x14ac:dyDescent="0.25">
      <c r="A2988" s="48" t="s">
        <v>529</v>
      </c>
      <c r="B2988" s="394" t="s">
        <v>560</v>
      </c>
      <c r="C2988" s="395"/>
      <c r="D2988" s="396"/>
      <c r="E2988" s="397" t="s">
        <v>519</v>
      </c>
      <c r="F2988" s="397" t="s">
        <v>561</v>
      </c>
      <c r="G2988" s="398" t="s">
        <v>562</v>
      </c>
      <c r="H2988" s="399"/>
      <c r="I2988" s="181" t="s">
        <v>530</v>
      </c>
      <c r="J2988" s="181"/>
      <c r="K2988" s="288" t="s">
        <v>521</v>
      </c>
      <c r="L2988" s="289"/>
      <c r="O2988" s="43"/>
      <c r="P2988" s="672"/>
      <c r="Q2988" s="671"/>
      <c r="R2988" s="673"/>
    </row>
    <row r="2989" spans="1:18" ht="30" customHeight="1" x14ac:dyDescent="0.25">
      <c r="A2989" s="61" t="s">
        <v>2054</v>
      </c>
      <c r="B2989" s="503" t="s">
        <v>2055</v>
      </c>
      <c r="C2989" s="504"/>
      <c r="D2989" s="505"/>
      <c r="E2989" s="405">
        <v>113.66</v>
      </c>
      <c r="F2989" s="20" t="s">
        <v>9</v>
      </c>
      <c r="G2989" s="522"/>
      <c r="H2989" s="20"/>
      <c r="I2989" s="20">
        <v>1.06</v>
      </c>
      <c r="J2989" s="20"/>
      <c r="K2989" s="405">
        <f>+E2989*I2989</f>
        <v>120.4796</v>
      </c>
      <c r="L2989" s="20" t="s">
        <v>9</v>
      </c>
      <c r="M2989" s="341"/>
      <c r="N2989" s="342"/>
      <c r="O2989" s="43"/>
      <c r="P2989" s="672"/>
      <c r="Q2989" s="671"/>
      <c r="R2989" s="673"/>
    </row>
    <row r="2990" spans="1:18" ht="30" customHeight="1" x14ac:dyDescent="0.25">
      <c r="A2990" s="61" t="s">
        <v>1915</v>
      </c>
      <c r="B2990" s="503" t="s">
        <v>1935</v>
      </c>
      <c r="C2990" s="504"/>
      <c r="D2990" s="504"/>
      <c r="E2990" s="405">
        <v>3.74</v>
      </c>
      <c r="F2990" s="20" t="s">
        <v>9</v>
      </c>
      <c r="G2990" s="838"/>
      <c r="H2990" s="754"/>
      <c r="I2990" s="20">
        <v>1.06</v>
      </c>
      <c r="J2990" s="20"/>
      <c r="K2990" s="405">
        <f>+E2990*I2990</f>
        <v>3.9644000000000004</v>
      </c>
      <c r="L2990" s="20" t="s">
        <v>9</v>
      </c>
      <c r="O2990"/>
      <c r="P2990" s="412"/>
      <c r="Q2990" s="391"/>
      <c r="R2990" s="393"/>
    </row>
    <row r="2991" spans="1:18" ht="30" customHeight="1" x14ac:dyDescent="0.25">
      <c r="A2991" s="61"/>
      <c r="B2991" s="191"/>
      <c r="C2991" s="191"/>
      <c r="D2991" s="191"/>
      <c r="E2991" s="405"/>
      <c r="F2991" s="20"/>
      <c r="G2991" s="838"/>
      <c r="H2991" s="754"/>
      <c r="I2991" s="20"/>
      <c r="J2991" s="20" t="s">
        <v>578</v>
      </c>
      <c r="K2991" s="405">
        <f>SUM(K2989:K2990)</f>
        <v>124.444</v>
      </c>
      <c r="L2991" s="20" t="s">
        <v>9</v>
      </c>
      <c r="M2991" s="43"/>
      <c r="O2991"/>
      <c r="P2991" s="412"/>
      <c r="Q2991" s="391"/>
      <c r="R2991" s="393"/>
    </row>
    <row r="2992" spans="1:18" ht="30" customHeight="1" x14ac:dyDescent="0.25">
      <c r="A2992" s="61"/>
      <c r="B2992" s="410"/>
      <c r="C2992" s="410"/>
      <c r="D2992" s="410"/>
      <c r="E2992" s="405"/>
      <c r="F2992" s="338" t="s">
        <v>533</v>
      </c>
      <c r="G2992" s="339" t="s">
        <v>534</v>
      </c>
      <c r="H2992" s="339"/>
      <c r="I2992" s="339"/>
      <c r="J2992" s="339"/>
      <c r="K2992" s="340">
        <v>1.07</v>
      </c>
      <c r="L2992" s="10"/>
      <c r="M2992" s="419"/>
      <c r="N2992" s="420"/>
      <c r="O2992"/>
      <c r="P2992" s="412"/>
      <c r="Q2992" s="391"/>
      <c r="R2992" s="393"/>
    </row>
    <row r="2993" spans="1:18" ht="30" customHeight="1" x14ac:dyDescent="0.25">
      <c r="A2993" s="61"/>
      <c r="B2993" s="410"/>
      <c r="C2993" s="410"/>
      <c r="D2993" s="410"/>
      <c r="E2993" s="405"/>
      <c r="F2993" s="343"/>
      <c r="G2993" s="344" t="s">
        <v>535</v>
      </c>
      <c r="H2993" s="344"/>
      <c r="I2993" s="344"/>
      <c r="J2993" s="344"/>
      <c r="K2993" s="340">
        <v>1.02</v>
      </c>
      <c r="L2993" s="10"/>
      <c r="M2993" s="425"/>
      <c r="N2993" s="420"/>
      <c r="O2993"/>
      <c r="P2993" s="412"/>
      <c r="Q2993" s="391"/>
      <c r="R2993" s="393"/>
    </row>
    <row r="2994" spans="1:18" ht="30" customHeight="1" x14ac:dyDescent="0.25">
      <c r="A2994" s="61"/>
      <c r="B2994" s="20"/>
      <c r="C2994" s="18"/>
      <c r="D2994" s="18"/>
      <c r="E2994" s="18"/>
      <c r="F2994" s="18"/>
      <c r="G2994" s="18"/>
      <c r="H2994" s="18"/>
      <c r="I2994" s="18"/>
      <c r="J2994" s="20" t="s">
        <v>358</v>
      </c>
      <c r="K2994" s="23">
        <f>+K2991*K2992/K2993</f>
        <v>130.54419607843136</v>
      </c>
      <c r="L2994" s="20" t="s">
        <v>9</v>
      </c>
      <c r="M2994" s="419"/>
      <c r="N2994" s="420"/>
      <c r="O2994"/>
      <c r="P2994" s="412"/>
      <c r="Q2994" s="391"/>
      <c r="R2994" s="393"/>
    </row>
    <row r="2995" spans="1:18" ht="30" customHeight="1" thickBot="1" x14ac:dyDescent="0.3">
      <c r="A2995" s="61"/>
      <c r="B2995" s="20"/>
      <c r="C2995" s="18"/>
      <c r="D2995" s="18"/>
      <c r="E2995" s="18"/>
      <c r="F2995" s="18"/>
      <c r="G2995" s="413" t="s">
        <v>537</v>
      </c>
      <c r="H2995" s="18"/>
      <c r="I2995" s="18"/>
      <c r="J2995" s="361">
        <f>VLOOKUP(B2987,'Mil Cost Premiums for RUCs'!$A$4:$R$265,18,FALSE)</f>
        <v>1.0569712645049996</v>
      </c>
      <c r="K2995" s="23">
        <f>+K2994*J2995</f>
        <v>137.9814640028082</v>
      </c>
      <c r="L2995" s="20" t="s">
        <v>9</v>
      </c>
      <c r="M2995" s="105"/>
      <c r="N2995" s="105"/>
      <c r="O2995"/>
      <c r="P2995" s="412"/>
      <c r="Q2995" s="391"/>
      <c r="R2995" s="393"/>
    </row>
    <row r="2996" spans="1:18" ht="30" customHeight="1" thickBot="1" x14ac:dyDescent="0.3">
      <c r="A2996" s="76"/>
      <c r="B2996" s="77"/>
      <c r="C2996" s="77"/>
      <c r="D2996" s="77"/>
      <c r="E2996" s="77"/>
      <c r="F2996" s="77"/>
      <c r="G2996" s="77"/>
      <c r="H2996" s="77"/>
      <c r="I2996" s="77"/>
      <c r="J2996" s="77"/>
      <c r="K2996" s="77"/>
      <c r="L2996" s="78"/>
      <c r="M2996" s="105"/>
      <c r="N2996" s="105"/>
      <c r="O2996"/>
      <c r="P2996" s="412"/>
      <c r="Q2996" s="391"/>
      <c r="R2996" s="393"/>
    </row>
    <row r="2997" spans="1:18" ht="30" customHeight="1" x14ac:dyDescent="0.25">
      <c r="A2997" s="30" t="s">
        <v>288</v>
      </c>
      <c r="B2997" s="208">
        <v>7234</v>
      </c>
      <c r="C2997" s="209" t="s">
        <v>2056</v>
      </c>
      <c r="D2997" s="210"/>
      <c r="E2997" s="177" t="s">
        <v>291</v>
      </c>
      <c r="F2997" s="178" t="s">
        <v>9</v>
      </c>
      <c r="G2997" s="123" t="s">
        <v>375</v>
      </c>
      <c r="H2997" s="388">
        <v>660</v>
      </c>
      <c r="I2997" s="177" t="s">
        <v>292</v>
      </c>
      <c r="J2997" s="38" t="s">
        <v>883</v>
      </c>
      <c r="K2997" s="38"/>
      <c r="L2997" s="389"/>
      <c r="M2997" s="105"/>
      <c r="N2997" s="105"/>
      <c r="O2997"/>
      <c r="P2997" s="412"/>
      <c r="Q2997" s="391"/>
      <c r="R2997" s="393"/>
    </row>
    <row r="2998" spans="1:18" ht="30" customHeight="1" x14ac:dyDescent="0.25">
      <c r="A2998" s="48" t="s">
        <v>529</v>
      </c>
      <c r="B2998" s="394" t="s">
        <v>560</v>
      </c>
      <c r="C2998" s="395"/>
      <c r="D2998" s="396"/>
      <c r="E2998" s="397" t="s">
        <v>519</v>
      </c>
      <c r="F2998" s="397" t="s">
        <v>561</v>
      </c>
      <c r="G2998" s="398" t="s">
        <v>562</v>
      </c>
      <c r="H2998" s="399"/>
      <c r="I2998" s="181" t="s">
        <v>530</v>
      </c>
      <c r="J2998" s="181"/>
      <c r="K2998" s="288" t="s">
        <v>521</v>
      </c>
      <c r="L2998" s="289"/>
      <c r="M2998" s="105"/>
      <c r="N2998" s="105"/>
      <c r="O2998"/>
      <c r="P2998" s="412"/>
      <c r="Q2998" s="391"/>
      <c r="R2998" s="393"/>
    </row>
    <row r="2999" spans="1:18" ht="30" customHeight="1" x14ac:dyDescent="0.25">
      <c r="A2999" s="61" t="s">
        <v>885</v>
      </c>
      <c r="B2999" s="503" t="s">
        <v>2057</v>
      </c>
      <c r="C2999" s="504"/>
      <c r="D2999" s="505"/>
      <c r="E2999" s="405">
        <v>133</v>
      </c>
      <c r="F2999" s="22" t="s">
        <v>9</v>
      </c>
      <c r="G2999" s="1112"/>
      <c r="H2999" s="758"/>
      <c r="I2999" s="20">
        <v>1.04</v>
      </c>
      <c r="J2999" s="20"/>
      <c r="K2999" s="405">
        <f>+E2999*I2999</f>
        <v>138.32</v>
      </c>
      <c r="L2999" s="20" t="s">
        <v>9</v>
      </c>
      <c r="M2999" s="419"/>
      <c r="N2999" s="420"/>
      <c r="O2999"/>
      <c r="P2999" s="412"/>
      <c r="Q2999" s="391"/>
      <c r="R2999" s="393"/>
    </row>
    <row r="3000" spans="1:18" ht="30" customHeight="1" x14ac:dyDescent="0.25">
      <c r="A3000" s="61" t="s">
        <v>888</v>
      </c>
      <c r="B3000" s="186" t="s">
        <v>2058</v>
      </c>
      <c r="C3000" s="186"/>
      <c r="D3000" s="186"/>
      <c r="E3000" s="405">
        <v>4.49</v>
      </c>
      <c r="F3000" s="20" t="s">
        <v>9</v>
      </c>
      <c r="G3000" s="20"/>
      <c r="H3000" s="20"/>
      <c r="I3000" s="20">
        <v>1.04</v>
      </c>
      <c r="J3000" s="20"/>
      <c r="K3000" s="405">
        <f>+E3000*I3000</f>
        <v>4.6696</v>
      </c>
      <c r="L3000" s="20" t="s">
        <v>9</v>
      </c>
      <c r="M3000" s="419"/>
      <c r="N3000" s="420"/>
      <c r="O3000"/>
      <c r="P3000" s="412"/>
      <c r="Q3000" s="391"/>
      <c r="R3000" s="393"/>
    </row>
    <row r="3001" spans="1:18" ht="30" customHeight="1" x14ac:dyDescent="0.25">
      <c r="A3001" s="1299"/>
      <c r="B3001" s="186"/>
      <c r="C3001" s="186"/>
      <c r="D3001" s="186"/>
      <c r="E3001" s="405"/>
      <c r="F3001" s="20"/>
      <c r="G3001" s="522"/>
      <c r="H3001" s="20"/>
      <c r="I3001" s="20"/>
      <c r="J3001" s="20" t="s">
        <v>578</v>
      </c>
      <c r="K3001" s="405">
        <f>SUM(K2999:K3000)</f>
        <v>142.9896</v>
      </c>
      <c r="L3001" s="20" t="s">
        <v>9</v>
      </c>
      <c r="M3001" s="419"/>
      <c r="N3001" s="420"/>
      <c r="O3001"/>
      <c r="P3001" s="412"/>
      <c r="Q3001" s="391"/>
      <c r="R3001" s="393"/>
    </row>
    <row r="3002" spans="1:18" ht="30" customHeight="1" x14ac:dyDescent="0.25">
      <c r="A3002" s="61"/>
      <c r="B3002" s="410"/>
      <c r="C3002" s="410"/>
      <c r="D3002" s="410"/>
      <c r="E3002" s="405"/>
      <c r="F3002" s="338" t="s">
        <v>533</v>
      </c>
      <c r="G3002" s="339" t="s">
        <v>534</v>
      </c>
      <c r="H3002" s="339"/>
      <c r="I3002" s="339"/>
      <c r="J3002" s="339"/>
      <c r="K3002" s="340">
        <v>1.07</v>
      </c>
      <c r="L3002" s="10"/>
      <c r="M3002" s="419"/>
      <c r="N3002" s="420"/>
      <c r="O3002"/>
      <c r="P3002" s="412"/>
      <c r="Q3002" s="391"/>
      <c r="R3002" s="393"/>
    </row>
    <row r="3003" spans="1:18" ht="30" customHeight="1" x14ac:dyDescent="0.25">
      <c r="A3003" s="61"/>
      <c r="B3003" s="410"/>
      <c r="C3003" s="410"/>
      <c r="D3003" s="410"/>
      <c r="E3003" s="405"/>
      <c r="F3003" s="343"/>
      <c r="G3003" s="344" t="s">
        <v>535</v>
      </c>
      <c r="H3003" s="344"/>
      <c r="I3003" s="344"/>
      <c r="J3003" s="344"/>
      <c r="K3003" s="340">
        <v>1.02</v>
      </c>
      <c r="L3003" s="10"/>
      <c r="M3003" s="419"/>
      <c r="N3003" s="420"/>
      <c r="O3003"/>
      <c r="P3003" s="412"/>
      <c r="Q3003" s="391"/>
      <c r="R3003" s="393"/>
    </row>
    <row r="3004" spans="1:18" s="49" customFormat="1" ht="30" customHeight="1" x14ac:dyDescent="0.25">
      <c r="A3004" s="61"/>
      <c r="B3004" s="20"/>
      <c r="C3004" s="18"/>
      <c r="D3004" s="18"/>
      <c r="E3004" s="18"/>
      <c r="F3004" s="18"/>
      <c r="G3004" s="18"/>
      <c r="H3004" s="18"/>
      <c r="I3004" s="18"/>
      <c r="J3004" s="18" t="s">
        <v>358</v>
      </c>
      <c r="K3004" s="23">
        <f>+K3001*K3002/K3003</f>
        <v>149.99889411764707</v>
      </c>
      <c r="L3004" s="20" t="s">
        <v>9</v>
      </c>
      <c r="M3004" s="419"/>
      <c r="N3004" s="420"/>
      <c r="P3004" s="412"/>
      <c r="Q3004" s="391"/>
      <c r="R3004" s="393"/>
    </row>
    <row r="3005" spans="1:18" ht="30" customHeight="1" thickBot="1" x14ac:dyDescent="0.3">
      <c r="A3005" s="61"/>
      <c r="B3005" s="20"/>
      <c r="C3005" s="18"/>
      <c r="D3005" s="18"/>
      <c r="E3005" s="18"/>
      <c r="F3005" s="18"/>
      <c r="G3005" s="413" t="s">
        <v>537</v>
      </c>
      <c r="H3005" s="18"/>
      <c r="I3005" s="18"/>
      <c r="J3005" s="361">
        <f>VLOOKUP(B2997,'Mil Cost Premiums for RUCs'!$A$4:$R$265,18,FALSE)</f>
        <v>1.1675459237447372</v>
      </c>
      <c r="K3005" s="23">
        <f>+K3004*J3005</f>
        <v>175.13059739327727</v>
      </c>
      <c r="L3005" s="20" t="s">
        <v>9</v>
      </c>
      <c r="O3005"/>
      <c r="P3005" s="412"/>
      <c r="Q3005" s="391"/>
      <c r="R3005" s="393"/>
    </row>
    <row r="3006" spans="1:18" ht="30" customHeight="1" thickBot="1" x14ac:dyDescent="0.3">
      <c r="A3006" s="76"/>
      <c r="B3006" s="77"/>
      <c r="C3006" s="77"/>
      <c r="D3006" s="77"/>
      <c r="E3006" s="77"/>
      <c r="F3006" s="77"/>
      <c r="G3006" s="77"/>
      <c r="H3006" s="77"/>
      <c r="I3006" s="77"/>
      <c r="J3006" s="77"/>
      <c r="K3006" s="77"/>
      <c r="L3006" s="78"/>
      <c r="O3006"/>
      <c r="P3006" s="412"/>
      <c r="Q3006" s="391"/>
      <c r="R3006" s="393"/>
    </row>
    <row r="3007" spans="1:18" ht="30" customHeight="1" x14ac:dyDescent="0.25">
      <c r="A3007" s="30" t="s">
        <v>288</v>
      </c>
      <c r="B3007" s="208">
        <v>7235</v>
      </c>
      <c r="C3007" s="209" t="s">
        <v>2059</v>
      </c>
      <c r="D3007" s="210"/>
      <c r="E3007" s="177" t="s">
        <v>291</v>
      </c>
      <c r="F3007" s="178" t="s">
        <v>11</v>
      </c>
      <c r="G3007" s="250" t="s">
        <v>290</v>
      </c>
      <c r="H3007" s="388">
        <v>1</v>
      </c>
      <c r="I3007" s="177" t="s">
        <v>292</v>
      </c>
      <c r="J3007" s="38" t="s">
        <v>883</v>
      </c>
      <c r="K3007" s="38"/>
      <c r="L3007" s="389"/>
      <c r="M3007" s="419"/>
      <c r="N3007" s="420"/>
      <c r="O3007"/>
      <c r="P3007" s="412"/>
      <c r="Q3007" s="391"/>
      <c r="R3007" s="393"/>
    </row>
    <row r="3008" spans="1:18" ht="30" customHeight="1" x14ac:dyDescent="0.25">
      <c r="A3008" s="48" t="s">
        <v>529</v>
      </c>
      <c r="B3008" s="394" t="s">
        <v>560</v>
      </c>
      <c r="C3008" s="395"/>
      <c r="D3008" s="396"/>
      <c r="E3008" s="397" t="s">
        <v>519</v>
      </c>
      <c r="F3008" s="397" t="s">
        <v>561</v>
      </c>
      <c r="G3008" s="398" t="s">
        <v>562</v>
      </c>
      <c r="H3008" s="399"/>
      <c r="I3008" s="181" t="s">
        <v>530</v>
      </c>
      <c r="J3008" s="181"/>
      <c r="K3008" s="288" t="s">
        <v>521</v>
      </c>
      <c r="L3008" s="289"/>
      <c r="M3008" s="419"/>
      <c r="N3008" s="420"/>
      <c r="O3008" s="43"/>
      <c r="P3008" s="672"/>
      <c r="Q3008" s="671"/>
      <c r="R3008" s="673"/>
    </row>
    <row r="3009" spans="1:18" ht="30" customHeight="1" x14ac:dyDescent="0.25">
      <c r="A3009" s="61" t="s">
        <v>2060</v>
      </c>
      <c r="B3009" s="186" t="s">
        <v>2061</v>
      </c>
      <c r="C3009" s="186"/>
      <c r="D3009" s="186"/>
      <c r="E3009" s="405">
        <v>39.72</v>
      </c>
      <c r="F3009" s="20" t="s">
        <v>9</v>
      </c>
      <c r="G3009" s="20">
        <v>128</v>
      </c>
      <c r="H3009" s="20" t="s">
        <v>565</v>
      </c>
      <c r="I3009" s="20">
        <v>1.06</v>
      </c>
      <c r="J3009" s="20"/>
      <c r="K3009" s="405">
        <f>+E3009*I3009*G3009</f>
        <v>5389.2096000000001</v>
      </c>
      <c r="L3009" s="20" t="s">
        <v>11</v>
      </c>
      <c r="M3009" s="419"/>
      <c r="N3009" s="420"/>
      <c r="O3009" s="43"/>
      <c r="P3009" s="672"/>
      <c r="Q3009" s="671"/>
      <c r="R3009" s="673"/>
    </row>
    <row r="3010" spans="1:18" ht="30" customHeight="1" x14ac:dyDescent="0.25">
      <c r="A3010" s="61"/>
      <c r="B3010" s="186" t="s">
        <v>2062</v>
      </c>
      <c r="C3010" s="186"/>
      <c r="D3010" s="186"/>
      <c r="E3010" s="405"/>
      <c r="F3010" s="20"/>
      <c r="G3010" s="20"/>
      <c r="H3010" s="20"/>
      <c r="I3010" s="20"/>
      <c r="J3010" s="20"/>
      <c r="K3010" s="405"/>
      <c r="L3010" s="20"/>
      <c r="M3010" s="419"/>
      <c r="N3010" s="420"/>
      <c r="O3010"/>
      <c r="P3010" s="412"/>
      <c r="Q3010" s="391"/>
      <c r="R3010" s="393"/>
    </row>
    <row r="3011" spans="1:18" ht="30" customHeight="1" x14ac:dyDescent="0.25">
      <c r="A3011" s="61"/>
      <c r="B3011" s="410"/>
      <c r="C3011" s="410"/>
      <c r="D3011" s="410"/>
      <c r="E3011" s="405"/>
      <c r="F3011" s="338" t="s">
        <v>533</v>
      </c>
      <c r="G3011" s="339" t="s">
        <v>534</v>
      </c>
      <c r="H3011" s="339"/>
      <c r="I3011" s="339"/>
      <c r="J3011" s="339"/>
      <c r="K3011" s="340">
        <v>1.07</v>
      </c>
      <c r="L3011" s="10"/>
      <c r="M3011" s="419"/>
      <c r="N3011" s="420"/>
      <c r="O3011"/>
      <c r="P3011" s="412"/>
      <c r="Q3011" s="391"/>
      <c r="R3011" s="393"/>
    </row>
    <row r="3012" spans="1:18" ht="30" customHeight="1" x14ac:dyDescent="0.25">
      <c r="A3012" s="61"/>
      <c r="B3012" s="410"/>
      <c r="C3012" s="410"/>
      <c r="D3012" s="410"/>
      <c r="E3012" s="405"/>
      <c r="F3012" s="343"/>
      <c r="G3012" s="344" t="s">
        <v>535</v>
      </c>
      <c r="H3012" s="344"/>
      <c r="I3012" s="344"/>
      <c r="J3012" s="344"/>
      <c r="K3012" s="340">
        <v>1.02</v>
      </c>
      <c r="L3012" s="10"/>
      <c r="M3012" s="419"/>
      <c r="N3012" s="420"/>
      <c r="O3012"/>
      <c r="P3012" s="412"/>
      <c r="Q3012" s="391"/>
      <c r="R3012" s="393"/>
    </row>
    <row r="3013" spans="1:18" ht="30" customHeight="1" x14ac:dyDescent="0.25">
      <c r="A3013" s="61"/>
      <c r="B3013" s="20"/>
      <c r="C3013" s="18"/>
      <c r="D3013" s="18"/>
      <c r="E3013" s="18"/>
      <c r="F3013" s="18"/>
      <c r="G3013" s="18"/>
      <c r="H3013" s="18"/>
      <c r="I3013" s="18"/>
      <c r="J3013" s="18" t="s">
        <v>358</v>
      </c>
      <c r="K3013" s="23">
        <f>+K3009*K3011/K3012</f>
        <v>5653.3865411764709</v>
      </c>
      <c r="L3013" s="20" t="s">
        <v>11</v>
      </c>
      <c r="M3013" s="425"/>
      <c r="N3013" s="420"/>
      <c r="O3013"/>
      <c r="P3013" s="412"/>
      <c r="Q3013" s="391"/>
      <c r="R3013" s="393"/>
    </row>
    <row r="3014" spans="1:18" s="49" customFormat="1" ht="30" customHeight="1" thickBot="1" x14ac:dyDescent="0.3">
      <c r="A3014" s="61"/>
      <c r="B3014" s="20"/>
      <c r="C3014" s="18"/>
      <c r="D3014" s="18"/>
      <c r="E3014" s="18"/>
      <c r="F3014" s="18"/>
      <c r="G3014" s="413" t="s">
        <v>537</v>
      </c>
      <c r="H3014" s="18"/>
      <c r="I3014" s="18"/>
      <c r="J3014" s="361">
        <f>VLOOKUP(B3007,'Mil Cost Premiums for RUCs'!$A$4:$R$265,18,FALSE)</f>
        <v>1.0209999999999999</v>
      </c>
      <c r="K3014" s="23">
        <f>+K3013*J3014</f>
        <v>5772.1076585411765</v>
      </c>
      <c r="L3014" s="20" t="s">
        <v>11</v>
      </c>
      <c r="M3014" s="419"/>
      <c r="N3014" s="420"/>
      <c r="P3014" s="412"/>
      <c r="Q3014" s="391"/>
      <c r="R3014" s="393"/>
    </row>
    <row r="3015" spans="1:18" ht="30" customHeight="1" thickBot="1" x14ac:dyDescent="0.3">
      <c r="A3015" s="76"/>
      <c r="B3015" s="77"/>
      <c r="C3015" s="77"/>
      <c r="D3015" s="77"/>
      <c r="E3015" s="77"/>
      <c r="F3015" s="77"/>
      <c r="G3015" s="77"/>
      <c r="H3015" s="77"/>
      <c r="I3015" s="77"/>
      <c r="J3015" s="77"/>
      <c r="K3015" s="77"/>
      <c r="L3015" s="78"/>
      <c r="M3015" s="419"/>
      <c r="N3015" s="420"/>
      <c r="O3015"/>
      <c r="P3015" s="412"/>
      <c r="Q3015" s="391"/>
      <c r="R3015" s="393"/>
    </row>
    <row r="3016" spans="1:18" ht="30" customHeight="1" x14ac:dyDescent="0.25">
      <c r="A3016" s="30" t="s">
        <v>288</v>
      </c>
      <c r="B3016" s="208">
        <v>7240</v>
      </c>
      <c r="C3016" s="282" t="s">
        <v>2063</v>
      </c>
      <c r="D3016" s="283"/>
      <c r="E3016" s="177" t="s">
        <v>291</v>
      </c>
      <c r="F3016" s="178" t="s">
        <v>9</v>
      </c>
      <c r="G3016" s="123" t="s">
        <v>375</v>
      </c>
      <c r="H3016" s="761">
        <v>6221</v>
      </c>
      <c r="I3016" s="177" t="s">
        <v>292</v>
      </c>
      <c r="J3016" s="38" t="s">
        <v>1910</v>
      </c>
      <c r="K3016" s="39"/>
      <c r="L3016" s="40"/>
      <c r="M3016" s="419"/>
      <c r="N3016" s="420"/>
      <c r="O3016"/>
      <c r="P3016" s="412"/>
      <c r="Q3016" s="391"/>
      <c r="R3016" s="393"/>
    </row>
    <row r="3017" spans="1:18" ht="30" customHeight="1" x14ac:dyDescent="0.25">
      <c r="A3017" s="44" t="s">
        <v>517</v>
      </c>
      <c r="B3017" s="180" t="s">
        <v>295</v>
      </c>
      <c r="C3017" s="180"/>
      <c r="D3017" s="180"/>
      <c r="E3017" s="182" t="s">
        <v>518</v>
      </c>
      <c r="F3017" s="285" t="s">
        <v>519</v>
      </c>
      <c r="G3017" s="181"/>
      <c r="H3017" s="181"/>
      <c r="I3017" s="286" t="s">
        <v>737</v>
      </c>
      <c r="J3017" s="287"/>
      <c r="K3017" s="288" t="s">
        <v>521</v>
      </c>
      <c r="L3017" s="289"/>
      <c r="M3017" s="670"/>
      <c r="N3017" s="671"/>
      <c r="O3017"/>
      <c r="P3017" s="412"/>
      <c r="Q3017" s="391"/>
      <c r="R3017" s="393"/>
    </row>
    <row r="3018" spans="1:18" ht="30" customHeight="1" x14ac:dyDescent="0.25">
      <c r="A3018" s="65" t="s">
        <v>522</v>
      </c>
      <c r="B3018" s="214" t="s">
        <v>2064</v>
      </c>
      <c r="C3018" s="214"/>
      <c r="D3018" s="214"/>
      <c r="E3018" s="291">
        <v>97000</v>
      </c>
      <c r="F3018" s="292">
        <v>258</v>
      </c>
      <c r="G3018" s="293"/>
      <c r="H3018" s="294"/>
      <c r="I3018" s="295">
        <f>+'MILCON Inflation Table'!F13</f>
        <v>1.0397823869432166</v>
      </c>
      <c r="J3018" s="296"/>
      <c r="K3018" s="292">
        <f>+F3018*I3018</f>
        <v>268.26385583134987</v>
      </c>
      <c r="L3018" s="290" t="s">
        <v>9</v>
      </c>
      <c r="M3018" s="670"/>
      <c r="N3018" s="671"/>
      <c r="O3018" s="43"/>
      <c r="P3018" s="672"/>
      <c r="Q3018" s="671"/>
      <c r="R3018" s="673"/>
    </row>
    <row r="3019" spans="1:18" ht="30" customHeight="1" thickBot="1" x14ac:dyDescent="0.3">
      <c r="A3019" s="61"/>
      <c r="B3019" s="191"/>
      <c r="C3019" s="191"/>
      <c r="D3019" s="191"/>
      <c r="E3019" s="297"/>
      <c r="F3019" s="298"/>
      <c r="G3019" s="298"/>
      <c r="H3019" s="299"/>
      <c r="I3019" s="18"/>
      <c r="J3019" s="185" t="s">
        <v>358</v>
      </c>
      <c r="K3019" s="301">
        <f>+K3018</f>
        <v>268.26385583134987</v>
      </c>
      <c r="L3019" s="20" t="s">
        <v>9</v>
      </c>
      <c r="M3019" s="419"/>
      <c r="N3019" s="420"/>
      <c r="O3019" s="43"/>
      <c r="P3019" s="672"/>
      <c r="Q3019" s="671"/>
      <c r="R3019" s="673"/>
    </row>
    <row r="3020" spans="1:18" ht="30" customHeight="1" thickBot="1" x14ac:dyDescent="0.3">
      <c r="A3020" s="76"/>
      <c r="B3020" s="77"/>
      <c r="C3020" s="77"/>
      <c r="D3020" s="77"/>
      <c r="E3020" s="77"/>
      <c r="F3020" s="77"/>
      <c r="G3020" s="77"/>
      <c r="H3020" s="77"/>
      <c r="I3020" s="77"/>
      <c r="J3020" s="77"/>
      <c r="K3020" s="77"/>
      <c r="L3020" s="78"/>
      <c r="M3020" s="419"/>
      <c r="N3020" s="420"/>
      <c r="O3020"/>
      <c r="P3020" s="412"/>
      <c r="Q3020" s="391"/>
      <c r="R3020" s="393"/>
    </row>
    <row r="3021" spans="1:18" ht="30" customHeight="1" x14ac:dyDescent="0.25">
      <c r="A3021" s="30" t="s">
        <v>288</v>
      </c>
      <c r="B3021" s="208">
        <v>7241</v>
      </c>
      <c r="C3021" s="282" t="s">
        <v>2065</v>
      </c>
      <c r="D3021" s="283"/>
      <c r="E3021" s="177" t="s">
        <v>291</v>
      </c>
      <c r="F3021" s="178" t="s">
        <v>9</v>
      </c>
      <c r="G3021" s="123" t="s">
        <v>375</v>
      </c>
      <c r="H3021" s="761">
        <v>7238</v>
      </c>
      <c r="I3021" s="177" t="s">
        <v>292</v>
      </c>
      <c r="J3021" s="38" t="s">
        <v>1910</v>
      </c>
      <c r="K3021" s="39"/>
      <c r="L3021" s="40"/>
      <c r="M3021" s="419"/>
      <c r="N3021" s="420"/>
      <c r="O3021"/>
      <c r="P3021" s="412"/>
      <c r="Q3021" s="391"/>
      <c r="R3021" s="393"/>
    </row>
    <row r="3022" spans="1:18" ht="30" customHeight="1" x14ac:dyDescent="0.25">
      <c r="A3022" s="44" t="s">
        <v>517</v>
      </c>
      <c r="B3022" s="180" t="s">
        <v>295</v>
      </c>
      <c r="C3022" s="180"/>
      <c r="D3022" s="180"/>
      <c r="E3022" s="182" t="s">
        <v>518</v>
      </c>
      <c r="F3022" s="285" t="s">
        <v>519</v>
      </c>
      <c r="G3022" s="181"/>
      <c r="H3022" s="181"/>
      <c r="I3022" s="286" t="s">
        <v>737</v>
      </c>
      <c r="J3022" s="287"/>
      <c r="K3022" s="288" t="s">
        <v>521</v>
      </c>
      <c r="L3022" s="289"/>
      <c r="M3022" s="419"/>
      <c r="N3022" s="420"/>
      <c r="O3022"/>
      <c r="P3022" s="412"/>
      <c r="Q3022" s="391"/>
      <c r="R3022" s="393"/>
    </row>
    <row r="3023" spans="1:18" ht="30" customHeight="1" x14ac:dyDescent="0.25">
      <c r="A3023" s="65" t="s">
        <v>522</v>
      </c>
      <c r="B3023" s="214" t="s">
        <v>2064</v>
      </c>
      <c r="C3023" s="214"/>
      <c r="D3023" s="214"/>
      <c r="E3023" s="291">
        <v>97000</v>
      </c>
      <c r="F3023" s="292">
        <v>258</v>
      </c>
      <c r="G3023" s="293"/>
      <c r="H3023" s="294"/>
      <c r="I3023" s="295">
        <f>+'MILCON Inflation Table'!F13</f>
        <v>1.0397823869432166</v>
      </c>
      <c r="J3023" s="296"/>
      <c r="K3023" s="292">
        <f>+F3023*I3023</f>
        <v>268.26385583134987</v>
      </c>
      <c r="L3023" s="290" t="s">
        <v>9</v>
      </c>
      <c r="M3023" s="425"/>
      <c r="N3023" s="420"/>
      <c r="O3023"/>
      <c r="P3023" s="412"/>
      <c r="Q3023" s="391"/>
      <c r="R3023" s="393"/>
    </row>
    <row r="3024" spans="1:18" s="49" customFormat="1" ht="30" customHeight="1" thickBot="1" x14ac:dyDescent="0.3">
      <c r="A3024" s="61"/>
      <c r="B3024" s="191"/>
      <c r="C3024" s="191"/>
      <c r="D3024" s="191"/>
      <c r="E3024" s="297"/>
      <c r="F3024" s="298"/>
      <c r="G3024" s="298"/>
      <c r="H3024" s="299"/>
      <c r="I3024" s="18"/>
      <c r="J3024" s="185" t="s">
        <v>358</v>
      </c>
      <c r="K3024" s="301">
        <f>+K3023</f>
        <v>268.26385583134987</v>
      </c>
      <c r="L3024" s="20" t="s">
        <v>9</v>
      </c>
      <c r="M3024" s="419"/>
      <c r="N3024" s="420"/>
      <c r="P3024" s="412"/>
      <c r="Q3024" s="391"/>
      <c r="R3024" s="393"/>
    </row>
    <row r="3025" spans="1:21" ht="30" customHeight="1" thickBot="1" x14ac:dyDescent="0.3">
      <c r="A3025" s="76"/>
      <c r="B3025" s="77"/>
      <c r="C3025" s="77"/>
      <c r="D3025" s="77"/>
      <c r="E3025" s="77"/>
      <c r="F3025" s="77"/>
      <c r="G3025" s="77"/>
      <c r="H3025" s="77"/>
      <c r="I3025" s="77"/>
      <c r="J3025" s="77"/>
      <c r="K3025" s="77"/>
      <c r="L3025" s="78"/>
      <c r="M3025" s="419"/>
      <c r="N3025" s="420"/>
      <c r="O3025"/>
      <c r="P3025" s="412"/>
      <c r="Q3025" s="391"/>
      <c r="R3025" s="393"/>
    </row>
    <row r="3026" spans="1:21" ht="30" customHeight="1" x14ac:dyDescent="0.25">
      <c r="A3026" s="207" t="s">
        <v>288</v>
      </c>
      <c r="B3026" s="208">
        <v>7242</v>
      </c>
      <c r="C3026" s="282" t="s">
        <v>2066</v>
      </c>
      <c r="D3026" s="283"/>
      <c r="E3026" s="177" t="s">
        <v>291</v>
      </c>
      <c r="F3026" s="178" t="s">
        <v>9</v>
      </c>
      <c r="G3026" s="123" t="s">
        <v>375</v>
      </c>
      <c r="H3026" s="539">
        <v>64243</v>
      </c>
      <c r="I3026" s="177" t="s">
        <v>292</v>
      </c>
      <c r="J3026" s="38" t="s">
        <v>883</v>
      </c>
      <c r="K3026" s="38"/>
      <c r="L3026" s="389"/>
      <c r="M3026" s="419"/>
      <c r="N3026" s="420"/>
      <c r="O3026"/>
      <c r="P3026" s="412"/>
      <c r="Q3026" s="391"/>
      <c r="R3026" s="393"/>
    </row>
    <row r="3027" spans="1:21" ht="30" customHeight="1" x14ac:dyDescent="0.25">
      <c r="A3027" s="185" t="s">
        <v>529</v>
      </c>
      <c r="B3027" s="394" t="s">
        <v>560</v>
      </c>
      <c r="C3027" s="395"/>
      <c r="D3027" s="396"/>
      <c r="E3027" s="397" t="s">
        <v>519</v>
      </c>
      <c r="F3027" s="397" t="s">
        <v>561</v>
      </c>
      <c r="G3027" s="398" t="s">
        <v>562</v>
      </c>
      <c r="H3027" s="399"/>
      <c r="I3027" s="181" t="s">
        <v>530</v>
      </c>
      <c r="J3027" s="181"/>
      <c r="K3027" s="288" t="s">
        <v>521</v>
      </c>
      <c r="L3027" s="289"/>
      <c r="M3027" s="670"/>
      <c r="N3027" s="671"/>
      <c r="O3027"/>
      <c r="P3027" s="412"/>
      <c r="Q3027" s="391"/>
      <c r="R3027" s="393"/>
    </row>
    <row r="3028" spans="1:21" ht="30" customHeight="1" x14ac:dyDescent="0.25">
      <c r="A3028" s="1333" t="s">
        <v>2039</v>
      </c>
      <c r="B3028" s="186" t="s">
        <v>2067</v>
      </c>
      <c r="C3028" s="186"/>
      <c r="D3028" s="186"/>
      <c r="E3028" s="405">
        <v>146</v>
      </c>
      <c r="F3028" s="20" t="s">
        <v>9</v>
      </c>
      <c r="G3028" s="522"/>
      <c r="H3028" s="20"/>
      <c r="I3028" s="20">
        <v>1.06</v>
      </c>
      <c r="J3028" s="751"/>
      <c r="K3028" s="405">
        <f>+E3028*I3028</f>
        <v>154.76000000000002</v>
      </c>
      <c r="L3028" s="20" t="s">
        <v>9</v>
      </c>
      <c r="M3028" s="670"/>
      <c r="N3028" s="671"/>
      <c r="O3028" s="43"/>
      <c r="P3028" s="672"/>
      <c r="Q3028" s="671"/>
      <c r="R3028" s="673"/>
    </row>
    <row r="3029" spans="1:21" ht="30" customHeight="1" x14ac:dyDescent="0.25">
      <c r="A3029" s="1325" t="s">
        <v>1934</v>
      </c>
      <c r="B3029" s="503" t="s">
        <v>2068</v>
      </c>
      <c r="C3029" s="504"/>
      <c r="D3029" s="504"/>
      <c r="E3029" s="405">
        <v>2.85</v>
      </c>
      <c r="F3029" s="20" t="s">
        <v>9</v>
      </c>
      <c r="G3029" s="838"/>
      <c r="H3029" s="754"/>
      <c r="I3029" s="20">
        <v>1.06</v>
      </c>
      <c r="J3029" s="751"/>
      <c r="K3029" s="405">
        <f>+E3029*I3029</f>
        <v>3.0210000000000004</v>
      </c>
      <c r="L3029" s="20" t="s">
        <v>9</v>
      </c>
      <c r="M3029" s="986"/>
      <c r="N3029" s="420"/>
      <c r="O3029" s="43"/>
      <c r="P3029" s="672"/>
      <c r="Q3029" s="671"/>
      <c r="R3029" s="673"/>
    </row>
    <row r="3030" spans="1:21" ht="30" customHeight="1" x14ac:dyDescent="0.25">
      <c r="A3030" s="20"/>
      <c r="B3030" s="191"/>
      <c r="C3030" s="191"/>
      <c r="D3030" s="191"/>
      <c r="E3030" s="405"/>
      <c r="F3030" s="20"/>
      <c r="G3030" s="838"/>
      <c r="H3030" s="754"/>
      <c r="I3030" s="20"/>
      <c r="J3030" s="20" t="s">
        <v>578</v>
      </c>
      <c r="K3030" s="405">
        <f>SUM(K3028:K3029)</f>
        <v>157.78100000000001</v>
      </c>
      <c r="L3030" s="20" t="s">
        <v>9</v>
      </c>
      <c r="M3030" s="986"/>
      <c r="N3030" s="420"/>
      <c r="O3030"/>
      <c r="P3030" s="412"/>
      <c r="Q3030" s="391"/>
      <c r="R3030" s="393"/>
    </row>
    <row r="3031" spans="1:21" ht="30" customHeight="1" x14ac:dyDescent="0.25">
      <c r="A3031" s="61"/>
      <c r="B3031" s="410"/>
      <c r="C3031" s="410"/>
      <c r="D3031" s="410"/>
      <c r="E3031" s="405"/>
      <c r="F3031" s="338" t="s">
        <v>533</v>
      </c>
      <c r="G3031" s="339" t="s">
        <v>534</v>
      </c>
      <c r="H3031" s="339"/>
      <c r="I3031" s="339"/>
      <c r="J3031" s="339"/>
      <c r="K3031" s="340">
        <v>1.07</v>
      </c>
      <c r="L3031" s="10"/>
      <c r="M3031" s="419"/>
      <c r="N3031" s="420"/>
      <c r="O3031"/>
      <c r="P3031" s="412"/>
      <c r="Q3031" s="391"/>
      <c r="R3031" s="393"/>
    </row>
    <row r="3032" spans="1:21" ht="30" customHeight="1" x14ac:dyDescent="0.25">
      <c r="A3032" s="61"/>
      <c r="B3032" s="410"/>
      <c r="C3032" s="410"/>
      <c r="D3032" s="410"/>
      <c r="E3032" s="405"/>
      <c r="F3032" s="343"/>
      <c r="G3032" s="344" t="s">
        <v>535</v>
      </c>
      <c r="H3032" s="344"/>
      <c r="I3032" s="344"/>
      <c r="J3032" s="344"/>
      <c r="K3032" s="340">
        <v>1.02</v>
      </c>
      <c r="L3032" s="10"/>
      <c r="M3032" s="419"/>
      <c r="N3032" s="420"/>
      <c r="O3032"/>
      <c r="P3032" s="412"/>
      <c r="Q3032" s="391"/>
      <c r="R3032" s="393"/>
    </row>
    <row r="3033" spans="1:21" ht="30" customHeight="1" x14ac:dyDescent="0.25">
      <c r="A3033" s="20"/>
      <c r="B3033" s="20"/>
      <c r="C3033" s="18"/>
      <c r="D3033" s="18"/>
      <c r="E3033" s="18"/>
      <c r="F3033" s="18"/>
      <c r="G3033" s="18"/>
      <c r="H3033" s="18"/>
      <c r="I3033" s="18"/>
      <c r="J3033" s="18" t="s">
        <v>358</v>
      </c>
      <c r="K3033" s="23">
        <f>+K3030*K3031/K3032</f>
        <v>165.51536274509803</v>
      </c>
      <c r="L3033" s="20" t="s">
        <v>9</v>
      </c>
      <c r="M3033" s="425"/>
      <c r="N3033" s="420"/>
      <c r="O3033"/>
      <c r="P3033" s="412"/>
      <c r="Q3033" s="391"/>
      <c r="R3033" s="393"/>
    </row>
    <row r="3034" spans="1:21" s="49" customFormat="1" ht="30" customHeight="1" thickBot="1" x14ac:dyDescent="0.3">
      <c r="A3034" s="61"/>
      <c r="B3034" s="20"/>
      <c r="C3034" s="18"/>
      <c r="D3034" s="18"/>
      <c r="E3034" s="18"/>
      <c r="F3034" s="18"/>
      <c r="G3034" s="413" t="s">
        <v>537</v>
      </c>
      <c r="H3034" s="18"/>
      <c r="I3034" s="18"/>
      <c r="J3034" s="361">
        <f>VLOOKUP(B3026,'Mil Cost Premiums for RUCs'!$A$4:$R$265,18,FALSE)</f>
        <v>1.3319480854780448</v>
      </c>
      <c r="K3034" s="23">
        <f>+K3033*J3034</f>
        <v>220.45787052553743</v>
      </c>
      <c r="L3034" s="20" t="s">
        <v>9</v>
      </c>
      <c r="M3034" s="419"/>
      <c r="N3034" s="420"/>
      <c r="P3034" s="412"/>
      <c r="Q3034" s="391"/>
      <c r="R3034" s="393"/>
    </row>
    <row r="3035" spans="1:21" ht="30" customHeight="1" thickBot="1" x14ac:dyDescent="0.3">
      <c r="A3035" s="76"/>
      <c r="B3035" s="77"/>
      <c r="C3035" s="77"/>
      <c r="D3035" s="77"/>
      <c r="E3035" s="77"/>
      <c r="F3035" s="77"/>
      <c r="G3035" s="77"/>
      <c r="H3035" s="77"/>
      <c r="I3035" s="77"/>
      <c r="J3035" s="77"/>
      <c r="K3035" s="77"/>
      <c r="L3035" s="78"/>
      <c r="M3035" s="419"/>
      <c r="N3035" s="420"/>
      <c r="O3035"/>
      <c r="P3035" s="412"/>
      <c r="Q3035" s="391"/>
      <c r="R3035" s="393"/>
    </row>
    <row r="3036" spans="1:21" ht="30" customHeight="1" x14ac:dyDescent="0.25">
      <c r="A3036" s="30" t="s">
        <v>288</v>
      </c>
      <c r="B3036" s="208">
        <v>7250</v>
      </c>
      <c r="C3036" s="282" t="s">
        <v>2069</v>
      </c>
      <c r="D3036" s="283"/>
      <c r="E3036" s="177" t="s">
        <v>291</v>
      </c>
      <c r="F3036" s="178" t="s">
        <v>9</v>
      </c>
      <c r="G3036" s="123" t="s">
        <v>375</v>
      </c>
      <c r="H3036" s="539">
        <v>1459</v>
      </c>
      <c r="I3036" s="177" t="s">
        <v>292</v>
      </c>
      <c r="J3036" s="38" t="s">
        <v>883</v>
      </c>
      <c r="K3036" s="38"/>
      <c r="L3036" s="389"/>
      <c r="M3036" s="419"/>
      <c r="N3036" s="420"/>
      <c r="O3036"/>
      <c r="P3036" s="412"/>
      <c r="Q3036" s="391"/>
      <c r="R3036" s="393"/>
    </row>
    <row r="3037" spans="1:21" ht="30" customHeight="1" x14ac:dyDescent="0.25">
      <c r="A3037" s="48" t="s">
        <v>529</v>
      </c>
      <c r="B3037" s="394" t="s">
        <v>560</v>
      </c>
      <c r="C3037" s="395"/>
      <c r="D3037" s="396"/>
      <c r="E3037" s="397" t="s">
        <v>519</v>
      </c>
      <c r="F3037" s="397" t="s">
        <v>561</v>
      </c>
      <c r="G3037" s="398" t="s">
        <v>562</v>
      </c>
      <c r="H3037" s="399"/>
      <c r="I3037" s="181" t="s">
        <v>530</v>
      </c>
      <c r="J3037" s="181"/>
      <c r="K3037" s="288" t="s">
        <v>521</v>
      </c>
      <c r="L3037" s="289"/>
      <c r="M3037" s="670"/>
      <c r="N3037" s="671"/>
      <c r="O3037" s="43"/>
      <c r="P3037" s="672"/>
      <c r="Q3037" s="671"/>
      <c r="R3037" s="673"/>
    </row>
    <row r="3038" spans="1:21" ht="30" customHeight="1" x14ac:dyDescent="0.25">
      <c r="A3038" s="1334" t="s">
        <v>2070</v>
      </c>
      <c r="B3038" s="503" t="s">
        <v>2071</v>
      </c>
      <c r="C3038" s="504"/>
      <c r="D3038" s="505"/>
      <c r="E3038" s="405">
        <v>74.37</v>
      </c>
      <c r="F3038" s="22" t="s">
        <v>9</v>
      </c>
      <c r="G3038" s="1112"/>
      <c r="H3038" s="758"/>
      <c r="I3038" s="20">
        <v>1.05</v>
      </c>
      <c r="J3038" s="20"/>
      <c r="K3038" s="405">
        <f>+E3038*I3038</f>
        <v>78.08850000000001</v>
      </c>
      <c r="L3038" s="20" t="s">
        <v>9</v>
      </c>
      <c r="M3038" s="1335"/>
      <c r="N3038" s="671"/>
      <c r="O3038" s="43"/>
      <c r="P3038" s="672"/>
      <c r="Q3038" s="671"/>
      <c r="R3038" s="673"/>
    </row>
    <row r="3039" spans="1:21" ht="30" customHeight="1" x14ac:dyDescent="0.25">
      <c r="A3039" s="1336" t="s">
        <v>2072</v>
      </c>
      <c r="B3039" s="503" t="s">
        <v>2073</v>
      </c>
      <c r="C3039" s="504"/>
      <c r="D3039" s="504"/>
      <c r="E3039" s="405">
        <v>3.98</v>
      </c>
      <c r="F3039" s="22" t="s">
        <v>9</v>
      </c>
      <c r="G3039" s="1112"/>
      <c r="H3039" s="758"/>
      <c r="I3039" s="20">
        <v>1.05</v>
      </c>
      <c r="J3039" s="20"/>
      <c r="K3039" s="405">
        <f>+E3039*I3039</f>
        <v>4.1790000000000003</v>
      </c>
      <c r="L3039" s="20" t="s">
        <v>9</v>
      </c>
      <c r="M3039" s="433"/>
      <c r="O3039"/>
      <c r="P3039" s="412"/>
      <c r="Q3039" s="391"/>
      <c r="R3039" s="393"/>
    </row>
    <row r="3040" spans="1:21" ht="30" customHeight="1" x14ac:dyDescent="0.25">
      <c r="A3040" s="1299"/>
      <c r="B3040" s="186"/>
      <c r="C3040" s="186"/>
      <c r="D3040" s="186"/>
      <c r="E3040" s="405"/>
      <c r="F3040" s="20"/>
      <c r="G3040" s="522"/>
      <c r="H3040" s="20"/>
      <c r="I3040" s="20"/>
      <c r="J3040" s="20" t="s">
        <v>578</v>
      </c>
      <c r="K3040" s="405">
        <f>SUM(K3038:K3039)</f>
        <v>82.267500000000013</v>
      </c>
      <c r="L3040" s="20" t="s">
        <v>9</v>
      </c>
      <c r="M3040" s="419"/>
      <c r="N3040" s="1337"/>
      <c r="P3040" s="43"/>
      <c r="Q3040" s="43"/>
      <c r="R3040" s="43"/>
      <c r="S3040" s="60"/>
      <c r="T3040" s="60"/>
      <c r="U3040" s="43"/>
    </row>
    <row r="3041" spans="1:21" ht="30" customHeight="1" x14ac:dyDescent="0.25">
      <c r="A3041" s="61"/>
      <c r="B3041" s="410"/>
      <c r="C3041" s="410"/>
      <c r="D3041" s="410"/>
      <c r="E3041" s="405"/>
      <c r="F3041" s="338" t="s">
        <v>533</v>
      </c>
      <c r="G3041" s="339" t="s">
        <v>534</v>
      </c>
      <c r="H3041" s="339"/>
      <c r="I3041" s="339"/>
      <c r="J3041" s="339"/>
      <c r="K3041" s="1338">
        <v>1.07</v>
      </c>
      <c r="L3041" s="10"/>
      <c r="M3041" s="425"/>
      <c r="N3041" s="420"/>
      <c r="P3041" s="43"/>
      <c r="Q3041" s="43"/>
      <c r="R3041" s="43"/>
      <c r="S3041" s="60"/>
      <c r="T3041" s="60"/>
      <c r="U3041" s="43"/>
    </row>
    <row r="3042" spans="1:21" s="41" customFormat="1" ht="30" customHeight="1" x14ac:dyDescent="0.25">
      <c r="A3042" s="61"/>
      <c r="B3042" s="410"/>
      <c r="C3042" s="410"/>
      <c r="D3042" s="410"/>
      <c r="E3042" s="405"/>
      <c r="F3042" s="343"/>
      <c r="G3042" s="344" t="s">
        <v>535</v>
      </c>
      <c r="H3042" s="344"/>
      <c r="I3042" s="344"/>
      <c r="J3042" s="344"/>
      <c r="K3042" s="340">
        <v>1.02</v>
      </c>
      <c r="L3042" s="10"/>
      <c r="M3042" s="1926"/>
      <c r="N3042" s="1927"/>
      <c r="O3042" s="42"/>
    </row>
    <row r="3043" spans="1:21" s="49" customFormat="1" ht="30" customHeight="1" x14ac:dyDescent="0.25">
      <c r="A3043" s="61"/>
      <c r="B3043" s="20"/>
      <c r="C3043" s="18"/>
      <c r="D3043" s="18"/>
      <c r="E3043" s="18"/>
      <c r="F3043" s="18"/>
      <c r="G3043" s="18"/>
      <c r="H3043" s="18"/>
      <c r="I3043" s="18"/>
      <c r="J3043" s="18" t="s">
        <v>358</v>
      </c>
      <c r="K3043" s="23">
        <f>+K3040*K3041/K3042</f>
        <v>86.300220588235319</v>
      </c>
      <c r="L3043" s="20" t="s">
        <v>9</v>
      </c>
      <c r="M3043" s="1339"/>
      <c r="N3043" s="420"/>
      <c r="O3043" s="27"/>
    </row>
    <row r="3044" spans="1:21" ht="30" customHeight="1" thickBot="1" x14ac:dyDescent="0.3">
      <c r="A3044" s="61"/>
      <c r="B3044" s="20"/>
      <c r="C3044" s="18"/>
      <c r="D3044" s="18"/>
      <c r="E3044" s="18"/>
      <c r="F3044" s="18"/>
      <c r="G3044" s="413" t="s">
        <v>537</v>
      </c>
      <c r="H3044" s="18"/>
      <c r="I3044" s="18"/>
      <c r="J3044" s="361">
        <f>VLOOKUP(B3036,'Mil Cost Premiums for RUCs'!$A$4:$R$265,18,FALSE)</f>
        <v>1.3319480854780448</v>
      </c>
      <c r="K3044" s="23">
        <f>+K3043*J3044</f>
        <v>114.94741358883297</v>
      </c>
      <c r="L3044" s="20" t="s">
        <v>9</v>
      </c>
      <c r="M3044" s="670"/>
      <c r="N3044" s="1340"/>
    </row>
    <row r="3045" spans="1:21" ht="30" customHeight="1" thickBot="1" x14ac:dyDescent="0.3">
      <c r="A3045" s="76"/>
      <c r="B3045" s="77"/>
      <c r="C3045" s="77"/>
      <c r="D3045" s="77"/>
      <c r="E3045" s="77"/>
      <c r="F3045" s="77"/>
      <c r="G3045" s="77"/>
      <c r="H3045" s="77"/>
      <c r="I3045" s="77"/>
      <c r="J3045" s="77"/>
      <c r="K3045" s="77"/>
      <c r="L3045" s="78"/>
      <c r="M3045" s="670"/>
      <c r="N3045" s="1341"/>
      <c r="P3045" s="43"/>
      <c r="Q3045" s="43"/>
      <c r="R3045" s="43"/>
      <c r="S3045" s="60"/>
      <c r="T3045" s="60"/>
      <c r="U3045" s="43"/>
    </row>
    <row r="3046" spans="1:21" ht="30" customHeight="1" x14ac:dyDescent="0.25">
      <c r="A3046" s="207" t="s">
        <v>288</v>
      </c>
      <c r="B3046" s="208">
        <v>7251</v>
      </c>
      <c r="C3046" s="282" t="s">
        <v>2074</v>
      </c>
      <c r="D3046" s="283"/>
      <c r="E3046" s="177" t="s">
        <v>291</v>
      </c>
      <c r="F3046" s="178" t="s">
        <v>9</v>
      </c>
      <c r="G3046" s="123" t="s">
        <v>375</v>
      </c>
      <c r="H3046" s="302">
        <v>973</v>
      </c>
      <c r="I3046" s="177" t="s">
        <v>292</v>
      </c>
      <c r="J3046" s="38" t="s">
        <v>2075</v>
      </c>
      <c r="K3046" s="39"/>
      <c r="L3046" s="40"/>
      <c r="M3046" s="419"/>
      <c r="N3046" s="671"/>
      <c r="P3046" s="43"/>
      <c r="Q3046" s="43"/>
      <c r="R3046" s="43"/>
      <c r="S3046" s="60"/>
      <c r="T3046" s="60"/>
      <c r="U3046" s="43"/>
    </row>
    <row r="3047" spans="1:21" s="41" customFormat="1" ht="30" customHeight="1" x14ac:dyDescent="0.25">
      <c r="A3047" s="181" t="s">
        <v>517</v>
      </c>
      <c r="B3047" s="180" t="s">
        <v>295</v>
      </c>
      <c r="C3047" s="180"/>
      <c r="D3047" s="180"/>
      <c r="E3047" s="285" t="s">
        <v>519</v>
      </c>
      <c r="F3047" s="181" t="s">
        <v>2</v>
      </c>
      <c r="G3047" s="665" t="s">
        <v>562</v>
      </c>
      <c r="H3047" s="666"/>
      <c r="I3047" s="286" t="s">
        <v>2076</v>
      </c>
      <c r="J3047" s="287"/>
      <c r="K3047" s="288" t="s">
        <v>521</v>
      </c>
      <c r="L3047" s="289"/>
      <c r="M3047" s="419"/>
      <c r="N3047" s="671"/>
      <c r="O3047" s="42"/>
    </row>
    <row r="3048" spans="1:21" s="49" customFormat="1" ht="30" customHeight="1" x14ac:dyDescent="0.25">
      <c r="A3048" s="20">
        <v>93210</v>
      </c>
      <c r="B3048" s="402" t="s">
        <v>2077</v>
      </c>
      <c r="C3048" s="403"/>
      <c r="D3048" s="404"/>
      <c r="E3048" s="405">
        <v>2.7</v>
      </c>
      <c r="F3048" s="729" t="s">
        <v>3</v>
      </c>
      <c r="G3048" s="1126">
        <v>9</v>
      </c>
      <c r="H3048" s="680" t="s">
        <v>2078</v>
      </c>
      <c r="I3048" s="1109">
        <f>+'MILCON Inflation Table'!$F$17</f>
        <v>0.9432470865927236</v>
      </c>
      <c r="J3048" s="1110"/>
      <c r="K3048" s="304">
        <f>+E3048/G3048*I3048</f>
        <v>0.28297412597781713</v>
      </c>
      <c r="L3048" s="290" t="s">
        <v>9</v>
      </c>
      <c r="M3048" s="419"/>
      <c r="N3048" s="420"/>
      <c r="O3048" s="27"/>
    </row>
    <row r="3049" spans="1:21" ht="30" customHeight="1" x14ac:dyDescent="0.25">
      <c r="A3049" s="20">
        <v>93210</v>
      </c>
      <c r="B3049" s="191" t="s">
        <v>2079</v>
      </c>
      <c r="C3049" s="191"/>
      <c r="D3049" s="191"/>
      <c r="E3049" s="405">
        <v>2.2999999999999998</v>
      </c>
      <c r="F3049" s="729" t="s">
        <v>3</v>
      </c>
      <c r="G3049" s="1126">
        <v>9</v>
      </c>
      <c r="H3049" s="680" t="s">
        <v>2078</v>
      </c>
      <c r="I3049" s="1109">
        <f>+'MILCON Inflation Table'!$F$17</f>
        <v>0.9432470865927236</v>
      </c>
      <c r="J3049" s="1110"/>
      <c r="K3049" s="304">
        <f>+E3049/G3049*I3049</f>
        <v>0.24105203324036267</v>
      </c>
      <c r="L3049" s="290" t="s">
        <v>9</v>
      </c>
      <c r="N3049" s="420"/>
    </row>
    <row r="3050" spans="1:21" ht="30" customHeight="1" x14ac:dyDescent="0.25">
      <c r="A3050" s="20">
        <v>85110</v>
      </c>
      <c r="B3050" s="503" t="s">
        <v>2080</v>
      </c>
      <c r="C3050" s="504"/>
      <c r="D3050" s="505"/>
      <c r="E3050" s="405">
        <v>9.5</v>
      </c>
      <c r="F3050" s="729" t="s">
        <v>3</v>
      </c>
      <c r="G3050" s="1126">
        <v>9</v>
      </c>
      <c r="H3050" s="680" t="s">
        <v>2078</v>
      </c>
      <c r="I3050" s="1109">
        <f>+'MILCON Inflation Table'!$F$17</f>
        <v>0.9432470865927236</v>
      </c>
      <c r="J3050" s="1110"/>
      <c r="K3050" s="304">
        <f>+E3050/G3050*I3050</f>
        <v>0.99564970251454166</v>
      </c>
      <c r="L3050" s="290" t="s">
        <v>9</v>
      </c>
      <c r="M3050" s="1342"/>
      <c r="N3050" s="420"/>
      <c r="O3050"/>
      <c r="P3050" s="412"/>
      <c r="Q3050" s="391"/>
      <c r="R3050" s="393"/>
    </row>
    <row r="3051" spans="1:21" ht="30" customHeight="1" x14ac:dyDescent="0.25">
      <c r="A3051" s="20">
        <v>85110</v>
      </c>
      <c r="B3051" s="503" t="s">
        <v>2081</v>
      </c>
      <c r="C3051" s="504"/>
      <c r="D3051" s="505"/>
      <c r="E3051" s="405">
        <v>42.2</v>
      </c>
      <c r="F3051" s="729" t="s">
        <v>3</v>
      </c>
      <c r="G3051" s="1126">
        <v>9</v>
      </c>
      <c r="H3051" s="680" t="s">
        <v>2078</v>
      </c>
      <c r="I3051" s="1109">
        <f>+'MILCON Inflation Table'!$F$17</f>
        <v>0.9432470865927236</v>
      </c>
      <c r="J3051" s="1110"/>
      <c r="K3051" s="304">
        <f>+E3051/G3051*I3051</f>
        <v>4.4227807838014375</v>
      </c>
      <c r="L3051" s="290" t="s">
        <v>9</v>
      </c>
      <c r="M3051" s="341"/>
      <c r="O3051"/>
      <c r="P3051" s="412"/>
      <c r="Q3051" s="391"/>
      <c r="R3051" s="393"/>
    </row>
    <row r="3052" spans="1:21" ht="30" customHeight="1" thickBot="1" x14ac:dyDescent="0.3">
      <c r="A3052" s="20"/>
      <c r="B3052" s="503"/>
      <c r="C3052" s="504"/>
      <c r="D3052" s="505"/>
      <c r="E3052" s="465"/>
      <c r="F3052" s="763"/>
      <c r="G3052" s="465"/>
      <c r="H3052" s="764" t="s">
        <v>578</v>
      </c>
      <c r="I3052" s="18"/>
      <c r="J3052" s="185" t="s">
        <v>358</v>
      </c>
      <c r="K3052" s="305">
        <f>SUM(K3048:K3051)</f>
        <v>5.9424566455341594</v>
      </c>
      <c r="L3052" s="290" t="s">
        <v>9</v>
      </c>
      <c r="N3052" s="1343"/>
      <c r="O3052"/>
      <c r="P3052" s="412"/>
      <c r="Q3052" s="391"/>
      <c r="R3052" s="393"/>
    </row>
    <row r="3053" spans="1:21" s="49" customFormat="1" ht="30" customHeight="1" thickBot="1" x14ac:dyDescent="0.3">
      <c r="A3053" s="76"/>
      <c r="B3053" s="77"/>
      <c r="C3053" s="77"/>
      <c r="D3053" s="77"/>
      <c r="E3053" s="77"/>
      <c r="F3053" s="77"/>
      <c r="G3053" s="77"/>
      <c r="H3053" s="77"/>
      <c r="I3053" s="77"/>
      <c r="J3053" s="77"/>
      <c r="K3053" s="77"/>
      <c r="L3053" s="78"/>
      <c r="M3053" s="43"/>
      <c r="N3053" s="342"/>
      <c r="P3053" s="412"/>
      <c r="Q3053" s="391"/>
      <c r="R3053" s="393"/>
    </row>
    <row r="3054" spans="1:21" ht="30" customHeight="1" x14ac:dyDescent="0.25">
      <c r="A3054" s="207" t="s">
        <v>288</v>
      </c>
      <c r="B3054" s="208">
        <v>7311</v>
      </c>
      <c r="C3054" s="161" t="s">
        <v>2082</v>
      </c>
      <c r="D3054" s="162"/>
      <c r="E3054" s="177" t="s">
        <v>291</v>
      </c>
      <c r="F3054" s="178" t="s">
        <v>9</v>
      </c>
      <c r="G3054" s="123" t="s">
        <v>375</v>
      </c>
      <c r="H3054" s="302">
        <v>6394</v>
      </c>
      <c r="I3054" s="177" t="s">
        <v>292</v>
      </c>
      <c r="J3054" s="38" t="s">
        <v>623</v>
      </c>
      <c r="K3054" s="39"/>
      <c r="L3054" s="40"/>
      <c r="O3054"/>
      <c r="P3054" s="412"/>
      <c r="Q3054" s="391"/>
      <c r="R3054" s="393"/>
    </row>
    <row r="3055" spans="1:21" ht="30" customHeight="1" x14ac:dyDescent="0.25">
      <c r="A3055" s="181" t="s">
        <v>517</v>
      </c>
      <c r="B3055" s="180" t="s">
        <v>295</v>
      </c>
      <c r="C3055" s="180"/>
      <c r="D3055" s="180"/>
      <c r="E3055" s="285" t="s">
        <v>519</v>
      </c>
      <c r="F3055" s="181" t="s">
        <v>518</v>
      </c>
      <c r="G3055" s="665" t="s">
        <v>562</v>
      </c>
      <c r="H3055" s="666"/>
      <c r="I3055" s="286" t="s">
        <v>520</v>
      </c>
      <c r="J3055" s="287"/>
      <c r="K3055" s="507" t="s">
        <v>521</v>
      </c>
      <c r="L3055" s="508"/>
      <c r="M3055" s="502"/>
      <c r="O3055"/>
      <c r="P3055" s="412"/>
      <c r="Q3055" s="391"/>
      <c r="R3055" s="393"/>
    </row>
    <row r="3056" spans="1:21" ht="30" customHeight="1" x14ac:dyDescent="0.25">
      <c r="A3056" s="20">
        <v>73010</v>
      </c>
      <c r="B3056" s="503" t="s">
        <v>2083</v>
      </c>
      <c r="C3056" s="504"/>
      <c r="D3056" s="505"/>
      <c r="E3056" s="405">
        <v>323</v>
      </c>
      <c r="F3056" s="729">
        <v>32000</v>
      </c>
      <c r="G3056" s="1126"/>
      <c r="H3056" s="680"/>
      <c r="I3056" s="1109">
        <f>+'MILCON Inflation Table'!F17</f>
        <v>0.9432470865927236</v>
      </c>
      <c r="J3056" s="1110"/>
      <c r="K3056" s="304">
        <f>+E3056*I3056</f>
        <v>304.66880896944974</v>
      </c>
      <c r="L3056" s="290" t="s">
        <v>9</v>
      </c>
      <c r="M3056" s="341"/>
      <c r="O3056"/>
      <c r="P3056" s="412"/>
      <c r="Q3056" s="391"/>
      <c r="R3056" s="393"/>
    </row>
    <row r="3057" spans="1:21" ht="30" customHeight="1" thickBot="1" x14ac:dyDescent="0.3">
      <c r="A3057" s="20"/>
      <c r="B3057" s="503"/>
      <c r="C3057" s="504"/>
      <c r="D3057" s="505"/>
      <c r="E3057" s="465"/>
      <c r="F3057" s="763"/>
      <c r="G3057" s="465"/>
      <c r="H3057" s="764"/>
      <c r="I3057" s="18"/>
      <c r="J3057" s="185" t="s">
        <v>358</v>
      </c>
      <c r="K3057" s="305">
        <f>SUM(K3056:K3056)</f>
        <v>304.66880896944974</v>
      </c>
      <c r="L3057" s="290" t="s">
        <v>9</v>
      </c>
      <c r="N3057" s="502"/>
      <c r="O3057" s="43"/>
      <c r="P3057" s="672"/>
      <c r="Q3057" s="671"/>
      <c r="R3057" s="673"/>
    </row>
    <row r="3058" spans="1:21" ht="30" customHeight="1" thickBot="1" x14ac:dyDescent="0.3">
      <c r="A3058" s="76"/>
      <c r="B3058" s="77"/>
      <c r="C3058" s="77"/>
      <c r="D3058" s="77"/>
      <c r="E3058" s="77"/>
      <c r="F3058" s="77"/>
      <c r="G3058" s="77"/>
      <c r="H3058" s="77"/>
      <c r="I3058" s="77"/>
      <c r="J3058" s="77"/>
      <c r="K3058" s="77"/>
      <c r="L3058" s="78"/>
      <c r="M3058" s="43"/>
      <c r="N3058" s="342"/>
      <c r="O3058" s="43"/>
      <c r="P3058" s="672"/>
      <c r="Q3058" s="671"/>
      <c r="R3058" s="673"/>
    </row>
    <row r="3059" spans="1:21" ht="30" customHeight="1" x14ac:dyDescent="0.25">
      <c r="A3059" s="417" t="s">
        <v>288</v>
      </c>
      <c r="B3059" s="418">
        <v>7312</v>
      </c>
      <c r="C3059" s="415" t="s">
        <v>2084</v>
      </c>
      <c r="D3059" s="416"/>
      <c r="E3059" s="540" t="s">
        <v>291</v>
      </c>
      <c r="F3059" s="541" t="s">
        <v>9</v>
      </c>
      <c r="G3059" s="123" t="s">
        <v>375</v>
      </c>
      <c r="H3059" s="600">
        <v>15014</v>
      </c>
      <c r="I3059" s="540" t="s">
        <v>292</v>
      </c>
      <c r="J3059" s="38" t="s">
        <v>883</v>
      </c>
      <c r="K3059" s="38"/>
      <c r="L3059" s="389"/>
      <c r="M3059" s="419"/>
      <c r="O3059"/>
      <c r="P3059" s="412"/>
      <c r="Q3059" s="391"/>
      <c r="R3059" s="393"/>
    </row>
    <row r="3060" spans="1:21" ht="30" customHeight="1" x14ac:dyDescent="0.25">
      <c r="A3060" s="421" t="s">
        <v>529</v>
      </c>
      <c r="B3060" s="543" t="s">
        <v>560</v>
      </c>
      <c r="C3060" s="544"/>
      <c r="D3060" s="545"/>
      <c r="E3060" s="546" t="s">
        <v>519</v>
      </c>
      <c r="F3060" s="546" t="s">
        <v>561</v>
      </c>
      <c r="G3060" s="547" t="s">
        <v>562</v>
      </c>
      <c r="H3060" s="548"/>
      <c r="I3060" s="424" t="s">
        <v>530</v>
      </c>
      <c r="J3060" s="424"/>
      <c r="K3060" s="288" t="s">
        <v>521</v>
      </c>
      <c r="L3060" s="289"/>
      <c r="M3060" s="1344"/>
      <c r="O3060"/>
      <c r="P3060" s="412"/>
      <c r="Q3060" s="391"/>
      <c r="R3060" s="393"/>
    </row>
    <row r="3061" spans="1:21" ht="30" customHeight="1" x14ac:dyDescent="0.25">
      <c r="A3061" s="1345" t="s">
        <v>687</v>
      </c>
      <c r="B3061" s="346" t="s">
        <v>2085</v>
      </c>
      <c r="C3061" s="347"/>
      <c r="D3061" s="348"/>
      <c r="E3061" s="326">
        <v>190.01</v>
      </c>
      <c r="F3061" s="5" t="s">
        <v>9</v>
      </c>
      <c r="G3061" s="697"/>
      <c r="H3061" s="698"/>
      <c r="I3061" s="10">
        <v>1.06</v>
      </c>
      <c r="J3061" s="10"/>
      <c r="K3061" s="326">
        <f>+E3061*I3061</f>
        <v>201.41059999999999</v>
      </c>
      <c r="L3061" s="10" t="s">
        <v>9</v>
      </c>
      <c r="M3061" s="419"/>
      <c r="N3061" s="420"/>
      <c r="O3061"/>
      <c r="P3061" s="412"/>
      <c r="Q3061" s="391"/>
      <c r="R3061" s="393"/>
    </row>
    <row r="3062" spans="1:21" ht="30" customHeight="1" x14ac:dyDescent="0.25">
      <c r="A3062" s="1346" t="s">
        <v>691</v>
      </c>
      <c r="B3062" s="323" t="s">
        <v>692</v>
      </c>
      <c r="C3062" s="324"/>
      <c r="D3062" s="324"/>
      <c r="E3062" s="326">
        <v>3.44</v>
      </c>
      <c r="F3062" s="5" t="s">
        <v>9</v>
      </c>
      <c r="G3062" s="697"/>
      <c r="H3062" s="698"/>
      <c r="I3062" s="10">
        <v>1.06</v>
      </c>
      <c r="J3062" s="10"/>
      <c r="K3062" s="326">
        <f>+E3062*I3062</f>
        <v>3.6464000000000003</v>
      </c>
      <c r="L3062" s="10" t="s">
        <v>9</v>
      </c>
      <c r="M3062" s="419"/>
      <c r="N3062" s="1347"/>
      <c r="O3062"/>
      <c r="P3062" s="412"/>
      <c r="Q3062" s="391"/>
      <c r="R3062" s="393"/>
    </row>
    <row r="3063" spans="1:21" s="49" customFormat="1" ht="30" customHeight="1" x14ac:dyDescent="0.25">
      <c r="A3063" s="1346" t="s">
        <v>664</v>
      </c>
      <c r="B3063" s="323" t="s">
        <v>2086</v>
      </c>
      <c r="C3063" s="324"/>
      <c r="D3063" s="325"/>
      <c r="E3063" s="326">
        <f>(19.15+29.75)/2</f>
        <v>24.45</v>
      </c>
      <c r="F3063" s="5" t="s">
        <v>1370</v>
      </c>
      <c r="G3063" s="697">
        <f>81*E3063/H3059</f>
        <v>0.13190688690555483</v>
      </c>
      <c r="H3063" s="698" t="s">
        <v>2087</v>
      </c>
      <c r="I3063" s="10">
        <v>1.02</v>
      </c>
      <c r="J3063" s="10"/>
      <c r="K3063" s="326">
        <f t="shared" ref="K3063:K3068" si="53">+G3063*I3063</f>
        <v>0.13454502464366594</v>
      </c>
      <c r="L3063" s="10" t="s">
        <v>9</v>
      </c>
      <c r="M3063" s="419"/>
      <c r="N3063" s="420"/>
      <c r="P3063" s="412"/>
      <c r="Q3063" s="391"/>
      <c r="R3063" s="393"/>
    </row>
    <row r="3064" spans="1:21" ht="30" customHeight="1" x14ac:dyDescent="0.25">
      <c r="A3064" s="1346" t="s">
        <v>664</v>
      </c>
      <c r="B3064" s="323" t="s">
        <v>2088</v>
      </c>
      <c r="C3064" s="324"/>
      <c r="D3064" s="325"/>
      <c r="E3064" s="326">
        <f>(1610+2280)/2</f>
        <v>1945</v>
      </c>
      <c r="F3064" s="5" t="s">
        <v>11</v>
      </c>
      <c r="G3064" s="1348">
        <f>+E3064/H3059</f>
        <v>0.12954575729319301</v>
      </c>
      <c r="H3064" s="698" t="s">
        <v>2087</v>
      </c>
      <c r="I3064" s="10">
        <v>1.02</v>
      </c>
      <c r="J3064" s="10"/>
      <c r="K3064" s="326">
        <f t="shared" si="53"/>
        <v>0.13213667243905688</v>
      </c>
      <c r="L3064" s="10" t="s">
        <v>9</v>
      </c>
      <c r="M3064" s="670"/>
      <c r="N3064" s="420"/>
      <c r="O3064"/>
      <c r="P3064" s="412"/>
      <c r="Q3064" s="391"/>
      <c r="R3064" s="393"/>
    </row>
    <row r="3065" spans="1:21" ht="30" customHeight="1" x14ac:dyDescent="0.25">
      <c r="A3065" s="1346" t="s">
        <v>668</v>
      </c>
      <c r="B3065" s="323" t="s">
        <v>2089</v>
      </c>
      <c r="C3065" s="324"/>
      <c r="D3065" s="325"/>
      <c r="E3065" s="326">
        <f>(31.5+75)/2</f>
        <v>53.25</v>
      </c>
      <c r="F3065" s="5" t="s">
        <v>2090</v>
      </c>
      <c r="G3065" s="697">
        <f>10*E3065/H3059</f>
        <v>3.546689756227521E-2</v>
      </c>
      <c r="H3065" s="698" t="s">
        <v>2087</v>
      </c>
      <c r="I3065" s="10">
        <v>1.04</v>
      </c>
      <c r="J3065" s="10"/>
      <c r="K3065" s="326">
        <f t="shared" si="53"/>
        <v>3.6885573464766216E-2</v>
      </c>
      <c r="L3065" s="10" t="s">
        <v>9</v>
      </c>
      <c r="M3065" s="670"/>
      <c r="N3065" s="420"/>
      <c r="O3065"/>
      <c r="P3065" s="412"/>
      <c r="Q3065" s="391"/>
      <c r="R3065" s="393"/>
    </row>
    <row r="3066" spans="1:21" ht="30" customHeight="1" x14ac:dyDescent="0.25">
      <c r="A3066" s="1346" t="s">
        <v>668</v>
      </c>
      <c r="B3066" s="323" t="s">
        <v>2091</v>
      </c>
      <c r="C3066" s="324"/>
      <c r="D3066" s="325"/>
      <c r="E3066" s="326">
        <f>(5900+11300)/2</f>
        <v>8600</v>
      </c>
      <c r="F3066" s="5" t="s">
        <v>11</v>
      </c>
      <c r="G3066" s="1348">
        <f>+E3066/H3059</f>
        <v>0.57279872119355268</v>
      </c>
      <c r="H3066" s="698" t="s">
        <v>2087</v>
      </c>
      <c r="I3066" s="10">
        <v>1.04</v>
      </c>
      <c r="J3066" s="10"/>
      <c r="K3066" s="326">
        <f t="shared" si="53"/>
        <v>0.59571067004129485</v>
      </c>
      <c r="L3066" s="10" t="s">
        <v>9</v>
      </c>
      <c r="M3066" s="419"/>
      <c r="N3066" s="671"/>
      <c r="O3066"/>
      <c r="P3066" s="412"/>
      <c r="Q3066" s="391"/>
      <c r="R3066" s="393"/>
    </row>
    <row r="3067" spans="1:21" ht="30" customHeight="1" x14ac:dyDescent="0.25">
      <c r="A3067" s="1346" t="s">
        <v>668</v>
      </c>
      <c r="B3067" s="323" t="s">
        <v>1360</v>
      </c>
      <c r="C3067" s="324"/>
      <c r="D3067" s="325"/>
      <c r="E3067" s="326">
        <f>(605+925)/2</f>
        <v>765</v>
      </c>
      <c r="F3067" s="5" t="s">
        <v>11</v>
      </c>
      <c r="G3067" s="1348">
        <f>+E3067/H3059</f>
        <v>5.0952444385240443E-2</v>
      </c>
      <c r="H3067" s="698" t="s">
        <v>2087</v>
      </c>
      <c r="I3067" s="10">
        <v>1.04</v>
      </c>
      <c r="J3067" s="10"/>
      <c r="K3067" s="326">
        <f t="shared" si="53"/>
        <v>5.2990542160650064E-2</v>
      </c>
      <c r="L3067" s="10" t="s">
        <v>9</v>
      </c>
      <c r="M3067" s="419"/>
      <c r="N3067" s="671"/>
      <c r="O3067" s="43"/>
      <c r="P3067" s="672"/>
      <c r="Q3067" s="671"/>
      <c r="R3067" s="673"/>
    </row>
    <row r="3068" spans="1:21" ht="30" customHeight="1" x14ac:dyDescent="0.25">
      <c r="A3068" s="1346" t="s">
        <v>668</v>
      </c>
      <c r="B3068" s="323" t="s">
        <v>673</v>
      </c>
      <c r="C3068" s="324"/>
      <c r="D3068" s="325"/>
      <c r="E3068" s="326">
        <f>(1060+3175)/2</f>
        <v>2117.5</v>
      </c>
      <c r="F3068" s="5" t="s">
        <v>11</v>
      </c>
      <c r="G3068" s="1348">
        <f>+E3068/H3059</f>
        <v>0.14103503396829625</v>
      </c>
      <c r="H3068" s="698" t="s">
        <v>2087</v>
      </c>
      <c r="I3068" s="10">
        <v>1.04</v>
      </c>
      <c r="J3068" s="10"/>
      <c r="K3068" s="326">
        <f t="shared" si="53"/>
        <v>0.14667643532702812</v>
      </c>
      <c r="L3068" s="10" t="s">
        <v>9</v>
      </c>
      <c r="M3068" s="419"/>
      <c r="N3068" s="420"/>
      <c r="O3068" s="43"/>
      <c r="P3068" s="672"/>
      <c r="Q3068" s="671"/>
      <c r="R3068" s="673"/>
    </row>
    <row r="3069" spans="1:21" ht="30" customHeight="1" x14ac:dyDescent="0.25">
      <c r="A3069" s="1331"/>
      <c r="B3069" s="551"/>
      <c r="C3069" s="551"/>
      <c r="D3069" s="551"/>
      <c r="E3069" s="326"/>
      <c r="F3069" s="10"/>
      <c r="G3069" s="1055"/>
      <c r="H3069" s="10"/>
      <c r="I3069" s="10"/>
      <c r="J3069" s="10" t="s">
        <v>578</v>
      </c>
      <c r="K3069" s="326">
        <f>SUM(K3061:K3068)</f>
        <v>206.15594491807644</v>
      </c>
      <c r="L3069" s="10" t="s">
        <v>9</v>
      </c>
      <c r="M3069" s="419"/>
      <c r="N3069" s="420"/>
      <c r="O3069"/>
      <c r="P3069" s="412"/>
      <c r="Q3069" s="391"/>
      <c r="R3069" s="393"/>
    </row>
    <row r="3070" spans="1:21" ht="30" customHeight="1" x14ac:dyDescent="0.25">
      <c r="A3070" s="61"/>
      <c r="B3070" s="410"/>
      <c r="C3070" s="410"/>
      <c r="D3070" s="410"/>
      <c r="E3070" s="405"/>
      <c r="F3070" s="338" t="s">
        <v>533</v>
      </c>
      <c r="G3070" s="339" t="s">
        <v>534</v>
      </c>
      <c r="H3070" s="339"/>
      <c r="I3070" s="339"/>
      <c r="J3070" s="339"/>
      <c r="K3070" s="340">
        <v>1.07</v>
      </c>
      <c r="L3070" s="10"/>
      <c r="M3070" s="425"/>
      <c r="N3070" s="420"/>
      <c r="O3070" s="42"/>
      <c r="P3070" s="41"/>
      <c r="Q3070" s="41"/>
      <c r="R3070" s="41"/>
      <c r="S3070" s="41"/>
      <c r="T3070" s="41"/>
      <c r="U3070" s="43"/>
    </row>
    <row r="3071" spans="1:21" ht="30" customHeight="1" x14ac:dyDescent="0.25">
      <c r="A3071" s="61"/>
      <c r="B3071" s="410"/>
      <c r="C3071" s="410"/>
      <c r="D3071" s="410"/>
      <c r="E3071" s="405"/>
      <c r="F3071" s="343"/>
      <c r="G3071" s="344" t="s">
        <v>535</v>
      </c>
      <c r="H3071" s="344"/>
      <c r="I3071" s="344"/>
      <c r="J3071" s="344"/>
      <c r="K3071" s="340">
        <v>1.02</v>
      </c>
      <c r="L3071" s="10"/>
      <c r="M3071" s="419"/>
      <c r="N3071" s="420"/>
      <c r="O3071" s="42"/>
      <c r="P3071" s="41"/>
      <c r="Q3071" s="41"/>
      <c r="R3071" s="41"/>
      <c r="S3071" s="41"/>
      <c r="T3071" s="41"/>
      <c r="U3071" s="43"/>
    </row>
    <row r="3072" spans="1:21" s="41" customFormat="1" ht="30" customHeight="1" x14ac:dyDescent="0.25">
      <c r="A3072" s="10"/>
      <c r="B3072" s="10"/>
      <c r="C3072" s="13"/>
      <c r="D3072" s="13"/>
      <c r="E3072" s="13"/>
      <c r="F3072" s="13"/>
      <c r="G3072" s="13"/>
      <c r="H3072" s="13"/>
      <c r="I3072" s="13"/>
      <c r="J3072" s="13" t="s">
        <v>358</v>
      </c>
      <c r="K3072" s="14">
        <f>+K3069*K3070/K3071</f>
        <v>216.26162849249195</v>
      </c>
      <c r="L3072" s="10" t="s">
        <v>9</v>
      </c>
      <c r="M3072" s="419"/>
      <c r="N3072" s="420"/>
      <c r="O3072" s="42"/>
    </row>
    <row r="3073" spans="1:21" s="49" customFormat="1" ht="30" customHeight="1" x14ac:dyDescent="0.25">
      <c r="A3073" s="10"/>
      <c r="B3073" s="10"/>
      <c r="C3073" s="13"/>
      <c r="D3073" s="13"/>
      <c r="E3073" s="13"/>
      <c r="F3073" s="13"/>
      <c r="G3073" s="13"/>
      <c r="H3073" s="128"/>
      <c r="I3073" s="969" t="s">
        <v>652</v>
      </c>
      <c r="J3073" s="361">
        <f>VLOOKUP(B3059,'Mil Cost Premiums for RUCs'!$A$4:$R$265,18,FALSE)</f>
        <v>1.3319480854780448</v>
      </c>
      <c r="K3073" s="14">
        <f>+K3072*J3073</f>
        <v>288.04926203293883</v>
      </c>
      <c r="L3073" s="10" t="s">
        <v>9</v>
      </c>
      <c r="M3073" s="419"/>
      <c r="N3073" s="420"/>
      <c r="O3073" s="27"/>
    </row>
    <row r="3074" spans="1:21" s="41" customFormat="1" ht="75" customHeight="1" x14ac:dyDescent="0.25">
      <c r="A3074" s="580" t="s">
        <v>538</v>
      </c>
      <c r="B3074" s="532"/>
      <c r="C3074" s="532"/>
      <c r="D3074" s="532"/>
      <c r="E3074" s="532"/>
      <c r="F3074" s="532"/>
      <c r="G3074" s="532"/>
      <c r="H3074" s="532"/>
      <c r="I3074" s="532"/>
      <c r="J3074" s="532"/>
      <c r="K3074" s="532"/>
      <c r="L3074" s="533"/>
      <c r="M3074" s="670"/>
      <c r="N3074" s="420"/>
      <c r="O3074" s="27"/>
      <c r="P3074"/>
      <c r="Q3074"/>
      <c r="R3074"/>
      <c r="S3074"/>
      <c r="T3074"/>
    </row>
    <row r="3075" spans="1:21" s="41" customFormat="1" ht="45" customHeight="1" x14ac:dyDescent="0.25">
      <c r="A3075" s="217" t="s">
        <v>539</v>
      </c>
      <c r="B3075" s="218"/>
      <c r="C3075" s="219"/>
      <c r="D3075" s="386" t="s">
        <v>2092</v>
      </c>
      <c r="E3075" s="849"/>
      <c r="F3075" s="849"/>
      <c r="G3075" s="849"/>
      <c r="H3075" s="849"/>
      <c r="I3075" s="849"/>
      <c r="J3075" s="849"/>
      <c r="K3075" s="849"/>
      <c r="L3075" s="850"/>
      <c r="M3075" s="670"/>
      <c r="N3075" s="420"/>
      <c r="O3075" s="27"/>
      <c r="P3075"/>
      <c r="Q3075"/>
      <c r="R3075"/>
      <c r="S3075"/>
      <c r="T3075"/>
    </row>
    <row r="3076" spans="1:21" ht="30" customHeight="1" x14ac:dyDescent="0.25">
      <c r="A3076" s="217" t="s">
        <v>541</v>
      </c>
      <c r="B3076" s="218"/>
      <c r="C3076" s="219"/>
      <c r="D3076" s="386" t="s">
        <v>2093</v>
      </c>
      <c r="E3076" s="849"/>
      <c r="F3076" s="849"/>
      <c r="G3076" s="849"/>
      <c r="H3076" s="849"/>
      <c r="I3076" s="849"/>
      <c r="J3076" s="849"/>
      <c r="K3076" s="849"/>
      <c r="L3076" s="850"/>
      <c r="M3076" s="419"/>
      <c r="N3076" s="671"/>
      <c r="P3076" s="43"/>
      <c r="Q3076" s="43"/>
      <c r="R3076" s="43"/>
      <c r="S3076" s="60"/>
      <c r="T3076" s="60"/>
    </row>
    <row r="3077" spans="1:21" ht="30" customHeight="1" x14ac:dyDescent="0.25">
      <c r="A3077" s="217" t="s">
        <v>543</v>
      </c>
      <c r="B3077" s="218"/>
      <c r="C3077" s="219"/>
      <c r="D3077" s="386" t="s">
        <v>2094</v>
      </c>
      <c r="E3077" s="849"/>
      <c r="F3077" s="849"/>
      <c r="G3077" s="849"/>
      <c r="H3077" s="849"/>
      <c r="I3077" s="849"/>
      <c r="J3077" s="849"/>
      <c r="K3077" s="849"/>
      <c r="L3077" s="850"/>
      <c r="M3077" s="419"/>
      <c r="N3077" s="671"/>
      <c r="P3077" s="43"/>
      <c r="Q3077" s="43"/>
      <c r="R3077" s="43"/>
      <c r="S3077" s="60"/>
      <c r="T3077" s="60"/>
    </row>
    <row r="3078" spans="1:21" ht="45" customHeight="1" x14ac:dyDescent="0.25">
      <c r="A3078" s="217" t="s">
        <v>546</v>
      </c>
      <c r="B3078" s="218"/>
      <c r="C3078" s="219"/>
      <c r="D3078" s="386" t="s">
        <v>2095</v>
      </c>
      <c r="E3078" s="849"/>
      <c r="F3078" s="849"/>
      <c r="G3078" s="849"/>
      <c r="H3078" s="849"/>
      <c r="I3078" s="849"/>
      <c r="J3078" s="849"/>
      <c r="K3078" s="849"/>
      <c r="L3078" s="850"/>
      <c r="M3078" s="419"/>
      <c r="N3078" s="420"/>
      <c r="O3078" s="42"/>
      <c r="P3078" s="41"/>
      <c r="Q3078" s="41"/>
      <c r="R3078" s="41"/>
      <c r="S3078" s="41"/>
      <c r="T3078" s="41"/>
      <c r="U3078" s="43"/>
    </row>
    <row r="3079" spans="1:21" ht="30" customHeight="1" x14ac:dyDescent="0.25">
      <c r="A3079" s="217" t="s">
        <v>548</v>
      </c>
      <c r="B3079" s="218"/>
      <c r="C3079" s="219"/>
      <c r="D3079" s="386" t="s">
        <v>2096</v>
      </c>
      <c r="E3079" s="849"/>
      <c r="F3079" s="849"/>
      <c r="G3079" s="849"/>
      <c r="H3079" s="849"/>
      <c r="I3079" s="849"/>
      <c r="J3079" s="849"/>
      <c r="K3079" s="849"/>
      <c r="L3079" s="850"/>
      <c r="N3079" s="420"/>
      <c r="U3079" s="43"/>
    </row>
    <row r="3080" spans="1:21" s="41" customFormat="1" ht="30" customHeight="1" x14ac:dyDescent="0.25">
      <c r="A3080" s="217" t="s">
        <v>550</v>
      </c>
      <c r="B3080" s="218"/>
      <c r="C3080" s="219"/>
      <c r="D3080" s="386" t="s">
        <v>551</v>
      </c>
      <c r="E3080" s="849"/>
      <c r="F3080" s="849"/>
      <c r="G3080" s="849"/>
      <c r="H3080" s="849"/>
      <c r="I3080" s="849"/>
      <c r="J3080" s="849"/>
      <c r="K3080" s="849"/>
      <c r="L3080" s="850"/>
      <c r="M3080" s="1342"/>
      <c r="N3080" s="420"/>
      <c r="O3080" s="27"/>
      <c r="P3080"/>
      <c r="Q3080"/>
      <c r="R3080"/>
      <c r="S3080"/>
      <c r="T3080"/>
    </row>
    <row r="3081" spans="1:21" s="49" customFormat="1" ht="30" customHeight="1" x14ac:dyDescent="0.25">
      <c r="A3081" s="217" t="s">
        <v>552</v>
      </c>
      <c r="B3081" s="218"/>
      <c r="C3081" s="219"/>
      <c r="D3081" s="386" t="s">
        <v>2097</v>
      </c>
      <c r="E3081" s="849"/>
      <c r="F3081" s="849"/>
      <c r="G3081" s="849"/>
      <c r="H3081" s="849"/>
      <c r="I3081" s="849"/>
      <c r="J3081" s="849"/>
      <c r="K3081" s="849"/>
      <c r="L3081" s="850"/>
      <c r="M3081" s="341"/>
      <c r="N3081" s="342"/>
      <c r="O3081" s="27"/>
      <c r="P3081" s="50"/>
      <c r="Q3081" s="50"/>
      <c r="R3081" s="50"/>
      <c r="S3081" s="212"/>
      <c r="T3081" s="212"/>
    </row>
    <row r="3082" spans="1:21" ht="75" customHeight="1" x14ac:dyDescent="0.25">
      <c r="A3082" s="217" t="s">
        <v>553</v>
      </c>
      <c r="B3082" s="218"/>
      <c r="C3082" s="219"/>
      <c r="D3082" s="386" t="s">
        <v>660</v>
      </c>
      <c r="E3082" s="849"/>
      <c r="F3082" s="849"/>
      <c r="G3082" s="849"/>
      <c r="H3082" s="849"/>
      <c r="I3082" s="849"/>
      <c r="J3082" s="849"/>
      <c r="K3082" s="849"/>
      <c r="L3082" s="850"/>
      <c r="M3082" s="341"/>
      <c r="N3082" s="1343"/>
      <c r="P3082" s="43"/>
      <c r="Q3082" s="43"/>
      <c r="R3082" s="43"/>
      <c r="S3082" s="60"/>
      <c r="T3082" s="60"/>
    </row>
    <row r="3083" spans="1:21" ht="90" customHeight="1" thickBot="1" x14ac:dyDescent="0.3">
      <c r="A3083" s="217" t="s">
        <v>556</v>
      </c>
      <c r="B3083" s="218"/>
      <c r="C3083" s="219"/>
      <c r="D3083" s="386" t="s">
        <v>2098</v>
      </c>
      <c r="E3083" s="849"/>
      <c r="F3083" s="849"/>
      <c r="G3083" s="849"/>
      <c r="H3083" s="849"/>
      <c r="I3083" s="849"/>
      <c r="J3083" s="849"/>
      <c r="K3083" s="849"/>
      <c r="L3083" s="850"/>
      <c r="M3083" s="1349"/>
      <c r="N3083" s="342"/>
      <c r="O3083"/>
      <c r="P3083" s="412"/>
      <c r="Q3083" s="391"/>
      <c r="R3083" s="393"/>
      <c r="S3083" s="1350"/>
    </row>
    <row r="3084" spans="1:21" ht="30" customHeight="1" thickBot="1" x14ac:dyDescent="0.3">
      <c r="A3084" s="76"/>
      <c r="B3084" s="77"/>
      <c r="C3084" s="77"/>
      <c r="D3084" s="77"/>
      <c r="E3084" s="77"/>
      <c r="F3084" s="77"/>
      <c r="G3084" s="77"/>
      <c r="H3084" s="77"/>
      <c r="I3084" s="77"/>
      <c r="J3084" s="77"/>
      <c r="K3084" s="77"/>
      <c r="L3084" s="78"/>
      <c r="M3084" s="341"/>
      <c r="N3084" s="342"/>
      <c r="O3084"/>
      <c r="P3084" s="412"/>
      <c r="Q3084" s="391"/>
      <c r="R3084" s="393"/>
    </row>
    <row r="3085" spans="1:21" ht="30" customHeight="1" x14ac:dyDescent="0.25">
      <c r="A3085" s="417" t="s">
        <v>288</v>
      </c>
      <c r="B3085" s="418">
        <v>7313</v>
      </c>
      <c r="C3085" s="415" t="s">
        <v>2099</v>
      </c>
      <c r="D3085" s="416"/>
      <c r="E3085" s="540" t="s">
        <v>291</v>
      </c>
      <c r="F3085" s="541" t="s">
        <v>9</v>
      </c>
      <c r="G3085" s="123" t="s">
        <v>375</v>
      </c>
      <c r="H3085" s="542">
        <v>5825</v>
      </c>
      <c r="I3085" s="540" t="s">
        <v>292</v>
      </c>
      <c r="J3085" s="38" t="s">
        <v>883</v>
      </c>
      <c r="K3085" s="38"/>
      <c r="L3085" s="389"/>
      <c r="N3085" s="1351"/>
      <c r="O3085"/>
      <c r="P3085" s="412"/>
      <c r="Q3085" s="391"/>
      <c r="R3085" s="393"/>
    </row>
    <row r="3086" spans="1:21" s="49" customFormat="1" ht="30" customHeight="1" x14ac:dyDescent="0.25">
      <c r="A3086" s="421" t="s">
        <v>529</v>
      </c>
      <c r="B3086" s="543" t="s">
        <v>560</v>
      </c>
      <c r="C3086" s="544"/>
      <c r="D3086" s="545"/>
      <c r="E3086" s="546" t="s">
        <v>519</v>
      </c>
      <c r="F3086" s="546" t="s">
        <v>561</v>
      </c>
      <c r="G3086" s="547" t="s">
        <v>562</v>
      </c>
      <c r="H3086" s="548"/>
      <c r="I3086" s="424" t="s">
        <v>530</v>
      </c>
      <c r="J3086" s="424"/>
      <c r="K3086" s="288" t="s">
        <v>521</v>
      </c>
      <c r="L3086" s="289"/>
      <c r="M3086" s="43"/>
      <c r="N3086" s="25"/>
      <c r="P3086" s="412"/>
      <c r="Q3086" s="391"/>
      <c r="R3086" s="393"/>
    </row>
    <row r="3087" spans="1:21" ht="30" customHeight="1" x14ac:dyDescent="0.25">
      <c r="A3087" s="1345" t="s">
        <v>687</v>
      </c>
      <c r="B3087" s="323" t="s">
        <v>2100</v>
      </c>
      <c r="C3087" s="324"/>
      <c r="D3087" s="325"/>
      <c r="E3087" s="326">
        <v>135.4</v>
      </c>
      <c r="F3087" s="5" t="s">
        <v>9</v>
      </c>
      <c r="G3087" s="697"/>
      <c r="H3087" s="698"/>
      <c r="I3087" s="10">
        <v>1.06</v>
      </c>
      <c r="J3087" s="10"/>
      <c r="K3087" s="326">
        <f>+E3087*I3087</f>
        <v>143.524</v>
      </c>
      <c r="L3087" s="10" t="s">
        <v>9</v>
      </c>
      <c r="M3087" s="1368"/>
      <c r="O3087"/>
      <c r="P3087" s="412"/>
      <c r="Q3087" s="391"/>
      <c r="R3087" s="393"/>
    </row>
    <row r="3088" spans="1:21" ht="30" customHeight="1" x14ac:dyDescent="0.25">
      <c r="A3088" s="1346" t="s">
        <v>691</v>
      </c>
      <c r="B3088" s="551" t="s">
        <v>1477</v>
      </c>
      <c r="C3088" s="551"/>
      <c r="D3088" s="551"/>
      <c r="E3088" s="326">
        <v>4.1399999999999997</v>
      </c>
      <c r="F3088" s="10" t="s">
        <v>9</v>
      </c>
      <c r="G3088" s="10"/>
      <c r="H3088" s="10"/>
      <c r="I3088" s="10">
        <v>1.06</v>
      </c>
      <c r="J3088" s="10"/>
      <c r="K3088" s="326">
        <f>+E3088*I3088</f>
        <v>4.3883999999999999</v>
      </c>
      <c r="L3088" s="10" t="s">
        <v>9</v>
      </c>
      <c r="M3088" s="1368"/>
      <c r="O3088"/>
      <c r="P3088" s="412"/>
      <c r="Q3088" s="391"/>
      <c r="R3088" s="393"/>
    </row>
    <row r="3089" spans="1:18" ht="30" customHeight="1" x14ac:dyDescent="0.25">
      <c r="A3089" s="1331"/>
      <c r="B3089" s="551"/>
      <c r="C3089" s="551"/>
      <c r="D3089" s="551"/>
      <c r="E3089" s="326"/>
      <c r="F3089" s="10"/>
      <c r="G3089" s="1055"/>
      <c r="H3089" s="10"/>
      <c r="I3089" s="10"/>
      <c r="J3089" s="10" t="s">
        <v>578</v>
      </c>
      <c r="K3089" s="326">
        <f>SUM(K3087:K3088)</f>
        <v>147.91239999999999</v>
      </c>
      <c r="L3089" s="10" t="s">
        <v>9</v>
      </c>
      <c r="M3089" s="341"/>
      <c r="N3089" s="1352"/>
      <c r="O3089"/>
      <c r="P3089" s="412"/>
      <c r="Q3089" s="391"/>
      <c r="R3089" s="393"/>
    </row>
    <row r="3090" spans="1:18" ht="30" customHeight="1" x14ac:dyDescent="0.25">
      <c r="A3090" s="20"/>
      <c r="B3090" s="410"/>
      <c r="C3090" s="410"/>
      <c r="D3090" s="410"/>
      <c r="E3090" s="405"/>
      <c r="F3090" s="338" t="s">
        <v>533</v>
      </c>
      <c r="G3090" s="339" t="s">
        <v>534</v>
      </c>
      <c r="H3090" s="339"/>
      <c r="I3090" s="339"/>
      <c r="J3090" s="339"/>
      <c r="K3090" s="340">
        <v>1.07</v>
      </c>
      <c r="L3090" s="10"/>
      <c r="N3090" s="502"/>
      <c r="O3090"/>
      <c r="P3090" s="412"/>
      <c r="Q3090" s="391"/>
      <c r="R3090" s="393"/>
    </row>
    <row r="3091" spans="1:18" ht="30" customHeight="1" x14ac:dyDescent="0.25">
      <c r="A3091" s="20"/>
      <c r="B3091" s="410"/>
      <c r="C3091" s="410"/>
      <c r="D3091" s="410"/>
      <c r="E3091" s="405"/>
      <c r="F3091" s="343"/>
      <c r="G3091" s="344" t="s">
        <v>535</v>
      </c>
      <c r="H3091" s="344"/>
      <c r="I3091" s="344"/>
      <c r="J3091" s="344"/>
      <c r="K3091" s="340">
        <v>1.02</v>
      </c>
      <c r="L3091" s="10"/>
      <c r="M3091" s="43"/>
      <c r="O3091"/>
      <c r="P3091" s="412"/>
      <c r="Q3091" s="391"/>
      <c r="R3091" s="393"/>
    </row>
    <row r="3092" spans="1:18" ht="30" customHeight="1" x14ac:dyDescent="0.25">
      <c r="A3092" s="10"/>
      <c r="B3092" s="10"/>
      <c r="C3092" s="13"/>
      <c r="D3092" s="13"/>
      <c r="E3092" s="13"/>
      <c r="F3092" s="13"/>
      <c r="G3092" s="13"/>
      <c r="H3092" s="13"/>
      <c r="I3092" s="13"/>
      <c r="J3092" s="13" t="s">
        <v>358</v>
      </c>
      <c r="K3092" s="14">
        <f>+K3089*K3090/K3091</f>
        <v>155.16300784313725</v>
      </c>
      <c r="L3092" s="10" t="s">
        <v>9</v>
      </c>
      <c r="M3092" s="419"/>
      <c r="O3092"/>
      <c r="P3092" s="412"/>
      <c r="Q3092" s="391"/>
      <c r="R3092" s="393"/>
    </row>
    <row r="3093" spans="1:18" ht="30" customHeight="1" x14ac:dyDescent="0.25">
      <c r="A3093" s="10"/>
      <c r="B3093" s="10"/>
      <c r="C3093" s="13"/>
      <c r="D3093" s="13"/>
      <c r="E3093" s="13"/>
      <c r="F3093" s="13"/>
      <c r="G3093" s="556"/>
      <c r="H3093" s="13"/>
      <c r="I3093" s="969" t="s">
        <v>652</v>
      </c>
      <c r="J3093" s="361">
        <f>VLOOKUP(B3085,'Mil Cost Premiums for RUCs'!$A$4:$R$265,18,FALSE)</f>
        <v>1.3319480854780448</v>
      </c>
      <c r="K3093" s="14">
        <f>+K3092*J3093</f>
        <v>206.66907123368151</v>
      </c>
      <c r="L3093" s="10" t="s">
        <v>9</v>
      </c>
      <c r="M3093" s="425"/>
      <c r="O3093"/>
      <c r="P3093" s="412"/>
      <c r="Q3093" s="391"/>
      <c r="R3093" s="393"/>
    </row>
    <row r="3094" spans="1:18" ht="75" customHeight="1" x14ac:dyDescent="0.25">
      <c r="A3094" s="577" t="s">
        <v>538</v>
      </c>
      <c r="B3094" s="578"/>
      <c r="C3094" s="578"/>
      <c r="D3094" s="578"/>
      <c r="E3094" s="578"/>
      <c r="F3094" s="578"/>
      <c r="G3094" s="578"/>
      <c r="H3094" s="578"/>
      <c r="I3094" s="578"/>
      <c r="J3094" s="578"/>
      <c r="K3094" s="578"/>
      <c r="L3094" s="579"/>
      <c r="M3094" s="419"/>
      <c r="N3094" s="420"/>
      <c r="O3094"/>
      <c r="P3094" s="412"/>
      <c r="Q3094" s="391"/>
      <c r="R3094" s="393"/>
    </row>
    <row r="3095" spans="1:18" ht="30" customHeight="1" x14ac:dyDescent="0.25">
      <c r="A3095" s="476" t="s">
        <v>539</v>
      </c>
      <c r="B3095" s="477"/>
      <c r="C3095" s="478"/>
      <c r="D3095" s="386" t="s">
        <v>693</v>
      </c>
      <c r="E3095" s="849"/>
      <c r="F3095" s="849"/>
      <c r="G3095" s="849"/>
      <c r="H3095" s="849"/>
      <c r="I3095" s="849"/>
      <c r="J3095" s="849"/>
      <c r="K3095" s="849"/>
      <c r="L3095" s="850"/>
      <c r="M3095" s="419"/>
      <c r="N3095" s="420"/>
      <c r="O3095"/>
      <c r="P3095" s="412"/>
      <c r="Q3095" s="391"/>
      <c r="R3095" s="393"/>
    </row>
    <row r="3096" spans="1:18" ht="30" customHeight="1" x14ac:dyDescent="0.25">
      <c r="A3096" s="476" t="s">
        <v>541</v>
      </c>
      <c r="B3096" s="477"/>
      <c r="C3096" s="478"/>
      <c r="D3096" s="386" t="s">
        <v>2101</v>
      </c>
      <c r="E3096" s="849"/>
      <c r="F3096" s="849"/>
      <c r="G3096" s="849"/>
      <c r="H3096" s="849"/>
      <c r="I3096" s="849"/>
      <c r="J3096" s="849"/>
      <c r="K3096" s="849"/>
      <c r="L3096" s="850"/>
      <c r="M3096" s="419"/>
      <c r="N3096" s="420"/>
      <c r="O3096" s="43"/>
      <c r="P3096" s="672"/>
      <c r="Q3096" s="671"/>
      <c r="R3096" s="673"/>
    </row>
    <row r="3097" spans="1:18" ht="30" customHeight="1" x14ac:dyDescent="0.25">
      <c r="A3097" s="476" t="s">
        <v>543</v>
      </c>
      <c r="B3097" s="477"/>
      <c r="C3097" s="478"/>
      <c r="D3097" s="1353" t="s">
        <v>2102</v>
      </c>
      <c r="E3097" s="1354"/>
      <c r="F3097" s="1354"/>
      <c r="G3097" s="1354"/>
      <c r="H3097" s="1354"/>
      <c r="I3097" s="1354"/>
      <c r="J3097" s="1354"/>
      <c r="K3097" s="1354"/>
      <c r="L3097" s="1355"/>
      <c r="M3097" s="419"/>
      <c r="N3097" s="420"/>
      <c r="O3097" s="43"/>
      <c r="P3097" s="672"/>
      <c r="Q3097" s="671"/>
      <c r="R3097" s="673"/>
    </row>
    <row r="3098" spans="1:18" ht="30" customHeight="1" x14ac:dyDescent="0.25">
      <c r="A3098" s="476" t="s">
        <v>546</v>
      </c>
      <c r="B3098" s="477"/>
      <c r="C3098" s="478"/>
      <c r="D3098" s="386" t="s">
        <v>2103</v>
      </c>
      <c r="E3098" s="849"/>
      <c r="F3098" s="849"/>
      <c r="G3098" s="849"/>
      <c r="H3098" s="849"/>
      <c r="I3098" s="849"/>
      <c r="J3098" s="849"/>
      <c r="K3098" s="849"/>
      <c r="L3098" s="850"/>
      <c r="M3098" s="419"/>
      <c r="N3098" s="420"/>
      <c r="O3098"/>
      <c r="P3098" s="412"/>
      <c r="Q3098" s="391"/>
      <c r="R3098" s="393"/>
    </row>
    <row r="3099" spans="1:18" ht="45" customHeight="1" x14ac:dyDescent="0.25">
      <c r="A3099" s="476" t="s">
        <v>548</v>
      </c>
      <c r="B3099" s="477"/>
      <c r="C3099" s="478"/>
      <c r="D3099" s="386" t="s">
        <v>2104</v>
      </c>
      <c r="E3099" s="849"/>
      <c r="F3099" s="849"/>
      <c r="G3099" s="849"/>
      <c r="H3099" s="849"/>
      <c r="I3099" s="849"/>
      <c r="J3099" s="849"/>
      <c r="K3099" s="849"/>
      <c r="L3099" s="850"/>
      <c r="M3099" s="419"/>
      <c r="N3099" s="420"/>
      <c r="O3099"/>
      <c r="P3099" s="412"/>
      <c r="Q3099" s="391"/>
      <c r="R3099" s="393"/>
    </row>
    <row r="3100" spans="1:18" ht="30" customHeight="1" x14ac:dyDescent="0.25">
      <c r="A3100" s="476" t="s">
        <v>550</v>
      </c>
      <c r="B3100" s="477"/>
      <c r="C3100" s="478"/>
      <c r="D3100" s="386" t="s">
        <v>2105</v>
      </c>
      <c r="E3100" s="849"/>
      <c r="F3100" s="849"/>
      <c r="G3100" s="849"/>
      <c r="H3100" s="849"/>
      <c r="I3100" s="849"/>
      <c r="J3100" s="849"/>
      <c r="K3100" s="849"/>
      <c r="L3100" s="850"/>
      <c r="M3100" s="1157"/>
      <c r="N3100" s="420"/>
      <c r="O3100"/>
      <c r="P3100" s="412"/>
      <c r="Q3100" s="391"/>
      <c r="R3100" s="393"/>
    </row>
    <row r="3101" spans="1:18" ht="30" customHeight="1" x14ac:dyDescent="0.25">
      <c r="A3101" s="476" t="s">
        <v>552</v>
      </c>
      <c r="B3101" s="477"/>
      <c r="C3101" s="478"/>
      <c r="D3101" s="386" t="s">
        <v>1705</v>
      </c>
      <c r="E3101" s="849"/>
      <c r="F3101" s="849"/>
      <c r="G3101" s="849"/>
      <c r="H3101" s="849"/>
      <c r="I3101" s="849"/>
      <c r="J3101" s="849"/>
      <c r="K3101" s="849"/>
      <c r="L3101" s="850"/>
      <c r="M3101" s="1157"/>
      <c r="N3101" s="420"/>
      <c r="O3101"/>
      <c r="P3101" s="412"/>
      <c r="Q3101" s="391"/>
      <c r="R3101" s="393"/>
    </row>
    <row r="3102" spans="1:18" ht="75" customHeight="1" x14ac:dyDescent="0.25">
      <c r="A3102" s="476" t="s">
        <v>553</v>
      </c>
      <c r="B3102" s="477"/>
      <c r="C3102" s="478"/>
      <c r="D3102" s="386" t="s">
        <v>660</v>
      </c>
      <c r="E3102" s="849"/>
      <c r="F3102" s="849"/>
      <c r="G3102" s="849"/>
      <c r="H3102" s="849"/>
      <c r="I3102" s="849"/>
      <c r="J3102" s="849"/>
      <c r="K3102" s="849"/>
      <c r="L3102" s="850"/>
      <c r="M3102" s="419"/>
      <c r="N3102" s="1356"/>
      <c r="O3102"/>
      <c r="P3102" s="412"/>
      <c r="Q3102" s="391"/>
      <c r="R3102" s="393"/>
    </row>
    <row r="3103" spans="1:18" ht="30" customHeight="1" thickBot="1" x14ac:dyDescent="0.3">
      <c r="A3103" s="476" t="s">
        <v>556</v>
      </c>
      <c r="B3103" s="477"/>
      <c r="C3103" s="478"/>
      <c r="D3103" s="386" t="s">
        <v>2106</v>
      </c>
      <c r="E3103" s="849"/>
      <c r="F3103" s="849"/>
      <c r="G3103" s="849"/>
      <c r="H3103" s="849"/>
      <c r="I3103" s="849"/>
      <c r="J3103" s="849"/>
      <c r="K3103" s="849"/>
      <c r="L3103" s="850"/>
      <c r="M3103" s="670"/>
      <c r="N3103" s="1356"/>
      <c r="O3103"/>
      <c r="P3103" s="412"/>
      <c r="Q3103" s="391"/>
      <c r="R3103" s="393"/>
    </row>
    <row r="3104" spans="1:18" ht="30" customHeight="1" thickBot="1" x14ac:dyDescent="0.3">
      <c r="A3104" s="76"/>
      <c r="B3104" s="77"/>
      <c r="C3104" s="77"/>
      <c r="D3104" s="77"/>
      <c r="E3104" s="77"/>
      <c r="F3104" s="77"/>
      <c r="G3104" s="77"/>
      <c r="H3104" s="77"/>
      <c r="I3104" s="77"/>
      <c r="J3104" s="77"/>
      <c r="K3104" s="77"/>
      <c r="L3104" s="78"/>
      <c r="M3104" s="1310"/>
      <c r="N3104" s="420"/>
      <c r="O3104"/>
      <c r="P3104" s="412"/>
      <c r="Q3104" s="391"/>
      <c r="R3104" s="393"/>
    </row>
    <row r="3105" spans="1:18" ht="30" customHeight="1" x14ac:dyDescent="0.25">
      <c r="A3105" s="30" t="s">
        <v>288</v>
      </c>
      <c r="B3105" s="208">
        <v>7314</v>
      </c>
      <c r="C3105" s="209" t="s">
        <v>2107</v>
      </c>
      <c r="D3105" s="210"/>
      <c r="E3105" s="177" t="s">
        <v>291</v>
      </c>
      <c r="F3105" s="178" t="s">
        <v>9</v>
      </c>
      <c r="G3105" s="123" t="s">
        <v>375</v>
      </c>
      <c r="H3105" s="179">
        <v>6902</v>
      </c>
      <c r="I3105" s="177" t="s">
        <v>292</v>
      </c>
      <c r="J3105" s="38" t="s">
        <v>883</v>
      </c>
      <c r="K3105" s="38"/>
      <c r="L3105" s="389"/>
      <c r="M3105" s="419"/>
      <c r="N3105" s="671"/>
      <c r="O3105"/>
      <c r="P3105" s="412"/>
      <c r="Q3105" s="391"/>
      <c r="R3105" s="393"/>
    </row>
    <row r="3106" spans="1:18" ht="30" customHeight="1" x14ac:dyDescent="0.25">
      <c r="A3106" s="48" t="s">
        <v>529</v>
      </c>
      <c r="B3106" s="394" t="s">
        <v>560</v>
      </c>
      <c r="C3106" s="395"/>
      <c r="D3106" s="396"/>
      <c r="E3106" s="397" t="s">
        <v>519</v>
      </c>
      <c r="F3106" s="397" t="s">
        <v>561</v>
      </c>
      <c r="G3106" s="398" t="s">
        <v>562</v>
      </c>
      <c r="H3106" s="399"/>
      <c r="I3106" s="181" t="s">
        <v>530</v>
      </c>
      <c r="J3106" s="181"/>
      <c r="K3106" s="288" t="s">
        <v>521</v>
      </c>
      <c r="L3106" s="289"/>
      <c r="M3106" s="419"/>
      <c r="N3106" s="671"/>
      <c r="O3106"/>
      <c r="P3106" s="412"/>
      <c r="Q3106" s="391"/>
      <c r="R3106" s="393"/>
    </row>
    <row r="3107" spans="1:18" ht="30" customHeight="1" x14ac:dyDescent="0.25">
      <c r="A3107" s="1334" t="s">
        <v>2108</v>
      </c>
      <c r="B3107" s="186" t="s">
        <v>2109</v>
      </c>
      <c r="C3107" s="186"/>
      <c r="D3107" s="186"/>
      <c r="E3107" s="405">
        <v>137.61000000000001</v>
      </c>
      <c r="F3107" s="20" t="s">
        <v>9</v>
      </c>
      <c r="G3107" s="20"/>
      <c r="H3107" s="20"/>
      <c r="I3107" s="20">
        <v>1.06</v>
      </c>
      <c r="J3107" s="20"/>
      <c r="K3107" s="405">
        <f>+E3107*I3107</f>
        <v>145.86660000000003</v>
      </c>
      <c r="L3107" s="20" t="s">
        <v>9</v>
      </c>
      <c r="M3107" s="419"/>
      <c r="N3107" s="420"/>
      <c r="O3107"/>
      <c r="P3107" s="412"/>
      <c r="Q3107" s="391"/>
      <c r="R3107" s="393"/>
    </row>
    <row r="3108" spans="1:18" ht="30" customHeight="1" x14ac:dyDescent="0.25">
      <c r="A3108" s="1336" t="s">
        <v>691</v>
      </c>
      <c r="B3108" s="186" t="s">
        <v>1477</v>
      </c>
      <c r="C3108" s="186"/>
      <c r="D3108" s="186"/>
      <c r="E3108" s="405">
        <v>4.1399999999999997</v>
      </c>
      <c r="F3108" s="20" t="s">
        <v>9</v>
      </c>
      <c r="G3108" s="20"/>
      <c r="H3108" s="20"/>
      <c r="I3108" s="20">
        <v>1.06</v>
      </c>
      <c r="J3108" s="20"/>
      <c r="K3108" s="405">
        <f>+E3108*I3108</f>
        <v>4.3883999999999999</v>
      </c>
      <c r="L3108" s="20" t="s">
        <v>9</v>
      </c>
      <c r="M3108" s="419"/>
      <c r="N3108" s="420"/>
      <c r="O3108"/>
      <c r="P3108" s="412"/>
      <c r="Q3108" s="391"/>
      <c r="R3108" s="393"/>
    </row>
    <row r="3109" spans="1:18" ht="30" customHeight="1" x14ac:dyDescent="0.25">
      <c r="A3109" s="1299"/>
      <c r="B3109" s="186"/>
      <c r="C3109" s="186"/>
      <c r="D3109" s="186"/>
      <c r="E3109" s="405"/>
      <c r="F3109" s="20"/>
      <c r="G3109" s="522"/>
      <c r="H3109" s="20"/>
      <c r="I3109" s="20"/>
      <c r="J3109" s="20" t="s">
        <v>578</v>
      </c>
      <c r="K3109" s="405">
        <f>SUM(K3107:K3108)</f>
        <v>150.25500000000002</v>
      </c>
      <c r="L3109" s="20" t="s">
        <v>9</v>
      </c>
      <c r="N3109" s="420"/>
      <c r="O3109"/>
      <c r="P3109" s="412"/>
      <c r="Q3109" s="391"/>
      <c r="R3109" s="393"/>
    </row>
    <row r="3110" spans="1:18" ht="30" customHeight="1" x14ac:dyDescent="0.25">
      <c r="A3110" s="61"/>
      <c r="B3110" s="410"/>
      <c r="C3110" s="410"/>
      <c r="D3110" s="410"/>
      <c r="E3110" s="405"/>
      <c r="F3110" s="338" t="s">
        <v>533</v>
      </c>
      <c r="G3110" s="339" t="s">
        <v>534</v>
      </c>
      <c r="H3110" s="339"/>
      <c r="I3110" s="339"/>
      <c r="J3110" s="339"/>
      <c r="K3110" s="340">
        <v>1.07</v>
      </c>
      <c r="L3110" s="10"/>
      <c r="M3110" s="419"/>
      <c r="N3110" s="420"/>
      <c r="O3110"/>
      <c r="P3110" s="412"/>
      <c r="Q3110" s="391"/>
      <c r="R3110" s="393"/>
    </row>
    <row r="3111" spans="1:18" ht="30" customHeight="1" x14ac:dyDescent="0.25">
      <c r="A3111" s="61"/>
      <c r="B3111" s="410"/>
      <c r="C3111" s="410"/>
      <c r="D3111" s="410"/>
      <c r="E3111" s="405"/>
      <c r="F3111" s="343"/>
      <c r="G3111" s="344" t="s">
        <v>535</v>
      </c>
      <c r="H3111" s="344"/>
      <c r="I3111" s="344"/>
      <c r="J3111" s="344"/>
      <c r="K3111" s="340">
        <v>1.02</v>
      </c>
      <c r="L3111" s="10"/>
      <c r="M3111" s="419"/>
      <c r="N3111" s="1343"/>
      <c r="O3111" s="1357"/>
      <c r="P3111" s="1217"/>
      <c r="Q3111" s="1217"/>
      <c r="R3111" s="1358"/>
    </row>
    <row r="3112" spans="1:18" s="49" customFormat="1" ht="30" customHeight="1" x14ac:dyDescent="0.25">
      <c r="A3112" s="61"/>
      <c r="B3112" s="20"/>
      <c r="C3112" s="18"/>
      <c r="D3112" s="18"/>
      <c r="E3112" s="18"/>
      <c r="F3112" s="18"/>
      <c r="G3112" s="18"/>
      <c r="H3112" s="18"/>
      <c r="I3112" s="18"/>
      <c r="J3112" s="18" t="s">
        <v>358</v>
      </c>
      <c r="K3112" s="23">
        <f>+K3109*K3110/K3111</f>
        <v>157.62044117647062</v>
      </c>
      <c r="L3112" s="20" t="s">
        <v>9</v>
      </c>
      <c r="M3112" s="419"/>
      <c r="N3112" s="420"/>
      <c r="P3112" s="412"/>
      <c r="Q3112" s="391"/>
      <c r="R3112" s="393"/>
    </row>
    <row r="3113" spans="1:18" ht="30" customHeight="1" thickBot="1" x14ac:dyDescent="0.3">
      <c r="A3113" s="61"/>
      <c r="B3113" s="20"/>
      <c r="C3113" s="18"/>
      <c r="D3113" s="18"/>
      <c r="E3113" s="18"/>
      <c r="F3113" s="18"/>
      <c r="G3113" s="413" t="s">
        <v>537</v>
      </c>
      <c r="H3113" s="18"/>
      <c r="I3113" s="18"/>
      <c r="J3113" s="361">
        <f>VLOOKUP(B3105,'Mil Cost Premiums for RUCs'!$A$4:$R$265,18,FALSE)</f>
        <v>1.3319480854780448</v>
      </c>
      <c r="K3113" s="23">
        <f>+K3112*J3113</f>
        <v>209.94224485720483</v>
      </c>
      <c r="L3113" s="20" t="s">
        <v>9</v>
      </c>
      <c r="M3113" s="419"/>
      <c r="N3113" s="420"/>
      <c r="O3113"/>
      <c r="P3113" s="412"/>
      <c r="Q3113" s="391"/>
      <c r="R3113" s="393"/>
    </row>
    <row r="3114" spans="1:18" ht="30" customHeight="1" thickBot="1" x14ac:dyDescent="0.3">
      <c r="A3114" s="76"/>
      <c r="B3114" s="77"/>
      <c r="C3114" s="77"/>
      <c r="D3114" s="77"/>
      <c r="E3114" s="77"/>
      <c r="F3114" s="77"/>
      <c r="G3114" s="77"/>
      <c r="H3114" s="77"/>
      <c r="I3114" s="77"/>
      <c r="J3114" s="77"/>
      <c r="K3114" s="77"/>
      <c r="L3114" s="78"/>
      <c r="M3114" s="419"/>
      <c r="N3114" s="420"/>
      <c r="O3114"/>
      <c r="P3114" s="412"/>
      <c r="Q3114" s="391"/>
      <c r="R3114" s="393"/>
    </row>
    <row r="3115" spans="1:18" ht="30" customHeight="1" x14ac:dyDescent="0.25">
      <c r="A3115" s="30" t="s">
        <v>288</v>
      </c>
      <c r="B3115" s="208">
        <v>7321</v>
      </c>
      <c r="C3115" s="209" t="s">
        <v>2110</v>
      </c>
      <c r="D3115" s="210"/>
      <c r="E3115" s="177" t="s">
        <v>291</v>
      </c>
      <c r="F3115" s="178" t="s">
        <v>9</v>
      </c>
      <c r="G3115" s="123" t="s">
        <v>375</v>
      </c>
      <c r="H3115" s="179">
        <v>115470</v>
      </c>
      <c r="I3115" s="177" t="s">
        <v>292</v>
      </c>
      <c r="J3115" s="38" t="s">
        <v>883</v>
      </c>
      <c r="K3115" s="38"/>
      <c r="L3115" s="389"/>
      <c r="M3115" s="419"/>
      <c r="N3115" s="420"/>
      <c r="O3115"/>
      <c r="P3115" s="412"/>
      <c r="Q3115" s="391"/>
      <c r="R3115" s="393"/>
    </row>
    <row r="3116" spans="1:18" ht="30" customHeight="1" x14ac:dyDescent="0.25">
      <c r="A3116" s="48" t="s">
        <v>529</v>
      </c>
      <c r="B3116" s="394" t="s">
        <v>560</v>
      </c>
      <c r="C3116" s="395"/>
      <c r="D3116" s="396"/>
      <c r="E3116" s="397" t="s">
        <v>519</v>
      </c>
      <c r="F3116" s="397" t="s">
        <v>561</v>
      </c>
      <c r="G3116" s="398" t="s">
        <v>562</v>
      </c>
      <c r="H3116" s="399"/>
      <c r="I3116" s="181" t="s">
        <v>530</v>
      </c>
      <c r="J3116" s="181"/>
      <c r="K3116" s="288" t="s">
        <v>521</v>
      </c>
      <c r="L3116" s="289"/>
      <c r="M3116" s="419"/>
      <c r="N3116" s="420"/>
      <c r="O3116" s="43"/>
      <c r="P3116" s="672"/>
      <c r="Q3116" s="671"/>
      <c r="R3116" s="673"/>
    </row>
    <row r="3117" spans="1:18" ht="30" customHeight="1" x14ac:dyDescent="0.25">
      <c r="A3117" s="1334" t="s">
        <v>2111</v>
      </c>
      <c r="B3117" s="402" t="s">
        <v>2112</v>
      </c>
      <c r="C3117" s="403"/>
      <c r="D3117" s="404"/>
      <c r="E3117" s="405">
        <f>(64.5+103)/2</f>
        <v>83.75</v>
      </c>
      <c r="F3117" s="22" t="s">
        <v>9</v>
      </c>
      <c r="G3117" s="1112"/>
      <c r="H3117" s="758"/>
      <c r="I3117" s="20">
        <v>1.05</v>
      </c>
      <c r="J3117" s="20"/>
      <c r="K3117" s="405">
        <f>+E3117*I3117</f>
        <v>87.9375</v>
      </c>
      <c r="L3117" s="20" t="s">
        <v>9</v>
      </c>
      <c r="M3117" s="419"/>
      <c r="N3117" s="420"/>
      <c r="O3117" s="43"/>
      <c r="P3117" s="672"/>
      <c r="Q3117" s="671"/>
      <c r="R3117" s="673"/>
    </row>
    <row r="3118" spans="1:18" ht="30" customHeight="1" x14ac:dyDescent="0.25">
      <c r="A3118" s="1336" t="s">
        <v>644</v>
      </c>
      <c r="B3118" s="503" t="s">
        <v>2113</v>
      </c>
      <c r="C3118" s="504"/>
      <c r="D3118" s="504"/>
      <c r="E3118" s="405">
        <v>2.04</v>
      </c>
      <c r="F3118" s="22" t="s">
        <v>9</v>
      </c>
      <c r="G3118" s="1112"/>
      <c r="H3118" s="758"/>
      <c r="I3118" s="20">
        <v>1.05</v>
      </c>
      <c r="J3118" s="20"/>
      <c r="K3118" s="405">
        <f>+E3118*I3118</f>
        <v>2.1420000000000003</v>
      </c>
      <c r="L3118" s="20" t="s">
        <v>9</v>
      </c>
      <c r="M3118" s="419"/>
      <c r="N3118" s="420"/>
      <c r="O3118"/>
      <c r="P3118" s="412"/>
      <c r="Q3118" s="391"/>
      <c r="R3118" s="393"/>
    </row>
    <row r="3119" spans="1:18" ht="30" customHeight="1" x14ac:dyDescent="0.25">
      <c r="A3119" s="1299"/>
      <c r="B3119" s="186"/>
      <c r="C3119" s="186"/>
      <c r="D3119" s="186"/>
      <c r="E3119" s="405"/>
      <c r="F3119" s="20"/>
      <c r="G3119" s="522"/>
      <c r="H3119" s="20"/>
      <c r="I3119" s="20"/>
      <c r="J3119" s="20" t="s">
        <v>578</v>
      </c>
      <c r="K3119" s="405">
        <f>SUM(K3117:K3118)</f>
        <v>90.079499999999996</v>
      </c>
      <c r="L3119" s="20" t="s">
        <v>9</v>
      </c>
      <c r="M3119" s="425"/>
      <c r="N3119" s="420"/>
      <c r="O3119"/>
      <c r="P3119" s="412"/>
      <c r="Q3119" s="391"/>
      <c r="R3119" s="393"/>
    </row>
    <row r="3120" spans="1:18" ht="30" customHeight="1" x14ac:dyDescent="0.25">
      <c r="A3120" s="61"/>
      <c r="B3120" s="410"/>
      <c r="C3120" s="410"/>
      <c r="D3120" s="410"/>
      <c r="E3120" s="405"/>
      <c r="F3120" s="338" t="s">
        <v>533</v>
      </c>
      <c r="G3120" s="339" t="s">
        <v>534</v>
      </c>
      <c r="H3120" s="339"/>
      <c r="I3120" s="339"/>
      <c r="J3120" s="339"/>
      <c r="K3120" s="340">
        <v>1.07</v>
      </c>
      <c r="L3120" s="10"/>
      <c r="M3120" s="419"/>
      <c r="N3120" s="420"/>
      <c r="O3120"/>
      <c r="P3120" s="412"/>
      <c r="Q3120" s="391"/>
      <c r="R3120" s="393"/>
    </row>
    <row r="3121" spans="1:18" ht="30" customHeight="1" x14ac:dyDescent="0.25">
      <c r="A3121" s="61"/>
      <c r="B3121" s="410"/>
      <c r="C3121" s="410"/>
      <c r="D3121" s="410"/>
      <c r="E3121" s="405"/>
      <c r="F3121" s="343"/>
      <c r="G3121" s="344" t="s">
        <v>535</v>
      </c>
      <c r="H3121" s="344"/>
      <c r="I3121" s="344"/>
      <c r="J3121" s="344"/>
      <c r="K3121" s="340">
        <v>1.02</v>
      </c>
      <c r="L3121" s="10"/>
      <c r="M3121" s="419"/>
      <c r="N3121" s="420"/>
      <c r="O3121"/>
      <c r="P3121" s="412"/>
      <c r="Q3121" s="391"/>
      <c r="R3121" s="393"/>
    </row>
    <row r="3122" spans="1:18" ht="30" customHeight="1" x14ac:dyDescent="0.25">
      <c r="A3122" s="61"/>
      <c r="B3122" s="20"/>
      <c r="C3122" s="18"/>
      <c r="D3122" s="18"/>
      <c r="E3122" s="18"/>
      <c r="F3122" s="18"/>
      <c r="G3122" s="18"/>
      <c r="H3122" s="18"/>
      <c r="I3122" s="18"/>
      <c r="J3122" s="20" t="s">
        <v>358</v>
      </c>
      <c r="K3122" s="23">
        <f>+K3119*K3120/K3121</f>
        <v>94.495161764705884</v>
      </c>
      <c r="L3122" s="20" t="s">
        <v>9</v>
      </c>
      <c r="M3122" s="419"/>
      <c r="N3122" s="1920"/>
      <c r="O3122"/>
      <c r="P3122" s="412"/>
      <c r="Q3122" s="391"/>
      <c r="R3122" s="393"/>
    </row>
    <row r="3123" spans="1:18" ht="30" customHeight="1" thickBot="1" x14ac:dyDescent="0.3">
      <c r="A3123" s="61"/>
      <c r="B3123" s="20"/>
      <c r="C3123" s="18"/>
      <c r="D3123" s="18"/>
      <c r="E3123" s="18"/>
      <c r="F3123" s="18"/>
      <c r="G3123" s="413" t="s">
        <v>537</v>
      </c>
      <c r="H3123" s="18"/>
      <c r="I3123" s="18"/>
      <c r="J3123" s="361">
        <f>VLOOKUP(B3115,'Mil Cost Premiums for RUCs'!$A$4:$R$265,18,FALSE)</f>
        <v>1.1838860786480316</v>
      </c>
      <c r="K3123" s="23">
        <f>+K3122*J3123</f>
        <v>111.87150651282906</v>
      </c>
      <c r="L3123" s="20" t="s">
        <v>9</v>
      </c>
      <c r="M3123" s="670"/>
      <c r="N3123" s="420"/>
      <c r="O3123"/>
      <c r="P3123" s="412"/>
      <c r="Q3123" s="391"/>
      <c r="R3123" s="393"/>
    </row>
    <row r="3124" spans="1:18" ht="30" customHeight="1" thickBot="1" x14ac:dyDescent="0.3">
      <c r="A3124" s="76"/>
      <c r="B3124" s="77"/>
      <c r="C3124" s="77"/>
      <c r="D3124" s="77"/>
      <c r="E3124" s="77"/>
      <c r="F3124" s="77"/>
      <c r="G3124" s="77"/>
      <c r="H3124" s="77"/>
      <c r="I3124" s="77"/>
      <c r="J3124" s="77"/>
      <c r="K3124" s="77"/>
      <c r="L3124" s="78"/>
      <c r="M3124" s="670"/>
      <c r="N3124" s="420"/>
      <c r="O3124"/>
      <c r="P3124" s="412"/>
      <c r="Q3124" s="391"/>
      <c r="R3124" s="393"/>
    </row>
    <row r="3125" spans="1:18" ht="30" customHeight="1" x14ac:dyDescent="0.25">
      <c r="A3125" s="207" t="s">
        <v>288</v>
      </c>
      <c r="B3125" s="208">
        <v>7322</v>
      </c>
      <c r="C3125" s="209" t="s">
        <v>2114</v>
      </c>
      <c r="D3125" s="210"/>
      <c r="E3125" s="177" t="s">
        <v>291</v>
      </c>
      <c r="F3125" s="178" t="s">
        <v>9</v>
      </c>
      <c r="G3125" s="123" t="s">
        <v>375</v>
      </c>
      <c r="H3125" s="179">
        <v>1651</v>
      </c>
      <c r="I3125" s="177" t="s">
        <v>292</v>
      </c>
      <c r="J3125" s="38" t="s">
        <v>883</v>
      </c>
      <c r="K3125" s="38"/>
      <c r="L3125" s="389"/>
      <c r="M3125" s="419"/>
      <c r="N3125" s="671"/>
      <c r="O3125"/>
      <c r="P3125" s="412"/>
      <c r="Q3125" s="391"/>
      <c r="R3125" s="393"/>
    </row>
    <row r="3126" spans="1:18" ht="30" customHeight="1" x14ac:dyDescent="0.25">
      <c r="A3126" s="185" t="s">
        <v>529</v>
      </c>
      <c r="B3126" s="394" t="s">
        <v>560</v>
      </c>
      <c r="C3126" s="395"/>
      <c r="D3126" s="396"/>
      <c r="E3126" s="397" t="s">
        <v>519</v>
      </c>
      <c r="F3126" s="397" t="s">
        <v>561</v>
      </c>
      <c r="G3126" s="398" t="s">
        <v>562</v>
      </c>
      <c r="H3126" s="399"/>
      <c r="I3126" s="181" t="s">
        <v>530</v>
      </c>
      <c r="J3126" s="181"/>
      <c r="K3126" s="288" t="s">
        <v>521</v>
      </c>
      <c r="L3126" s="289"/>
      <c r="M3126" s="1921"/>
      <c r="N3126" s="671"/>
      <c r="O3126"/>
      <c r="P3126" s="412"/>
      <c r="Q3126" s="391"/>
      <c r="R3126" s="393"/>
    </row>
    <row r="3127" spans="1:18" ht="30" customHeight="1" x14ac:dyDescent="0.25">
      <c r="A3127" s="778" t="s">
        <v>2115</v>
      </c>
      <c r="B3127" s="503" t="s">
        <v>2116</v>
      </c>
      <c r="C3127" s="504"/>
      <c r="D3127" s="505"/>
      <c r="E3127" s="405">
        <v>83.09</v>
      </c>
      <c r="F3127" s="22" t="s">
        <v>9</v>
      </c>
      <c r="G3127" s="1112"/>
      <c r="H3127" s="758"/>
      <c r="I3127" s="20">
        <v>1.06</v>
      </c>
      <c r="J3127" s="20"/>
      <c r="K3127" s="405">
        <f>+E3127*I3127</f>
        <v>88.075400000000002</v>
      </c>
      <c r="L3127" s="20" t="s">
        <v>9</v>
      </c>
      <c r="M3127" s="1368"/>
      <c r="N3127" s="420"/>
      <c r="O3127"/>
      <c r="P3127" s="412"/>
      <c r="Q3127" s="391"/>
      <c r="R3127" s="393"/>
    </row>
    <row r="3128" spans="1:18" ht="30" customHeight="1" x14ac:dyDescent="0.25">
      <c r="A3128" s="778" t="s">
        <v>1856</v>
      </c>
      <c r="B3128" s="503" t="s">
        <v>2117</v>
      </c>
      <c r="C3128" s="504"/>
      <c r="D3128" s="505"/>
      <c r="E3128" s="405">
        <v>13.2</v>
      </c>
      <c r="F3128" s="22" t="s">
        <v>9</v>
      </c>
      <c r="G3128" s="1112"/>
      <c r="H3128" s="758"/>
      <c r="I3128" s="20">
        <v>1.06</v>
      </c>
      <c r="J3128" s="20"/>
      <c r="K3128" s="405">
        <f>+E3128*I3128</f>
        <v>13.991999999999999</v>
      </c>
      <c r="L3128" s="20" t="s">
        <v>9</v>
      </c>
      <c r="M3128" s="1368"/>
      <c r="N3128" s="420"/>
      <c r="O3128"/>
      <c r="P3128" s="412"/>
      <c r="Q3128" s="391"/>
      <c r="R3128" s="393"/>
    </row>
    <row r="3129" spans="1:18" ht="30" customHeight="1" x14ac:dyDescent="0.25">
      <c r="A3129" s="1333" t="s">
        <v>644</v>
      </c>
      <c r="B3129" s="503" t="s">
        <v>2118</v>
      </c>
      <c r="C3129" s="504"/>
      <c r="D3129" s="504"/>
      <c r="E3129" s="405">
        <v>3.8</v>
      </c>
      <c r="F3129" s="22" t="s">
        <v>9</v>
      </c>
      <c r="G3129" s="1112"/>
      <c r="H3129" s="758"/>
      <c r="I3129" s="20">
        <v>1.06</v>
      </c>
      <c r="J3129" s="20"/>
      <c r="K3129" s="405">
        <f>+E3129*I3129</f>
        <v>4.0279999999999996</v>
      </c>
      <c r="L3129" s="20" t="s">
        <v>9</v>
      </c>
      <c r="M3129" s="1368"/>
      <c r="N3129" s="420"/>
      <c r="O3129"/>
      <c r="P3129" s="412"/>
      <c r="Q3129" s="391"/>
      <c r="R3129" s="393"/>
    </row>
    <row r="3130" spans="1:18" ht="30" customHeight="1" x14ac:dyDescent="0.25">
      <c r="A3130" s="1325"/>
      <c r="B3130" s="186"/>
      <c r="C3130" s="186"/>
      <c r="D3130" s="186"/>
      <c r="E3130" s="405"/>
      <c r="F3130" s="20"/>
      <c r="G3130" s="522"/>
      <c r="H3130" s="20"/>
      <c r="I3130" s="20"/>
      <c r="J3130" s="20" t="s">
        <v>578</v>
      </c>
      <c r="K3130" s="405">
        <f>SUM(K3127:K3129)</f>
        <v>106.09540000000001</v>
      </c>
      <c r="L3130" s="20" t="s">
        <v>9</v>
      </c>
      <c r="M3130" s="1368"/>
      <c r="N3130" s="420"/>
      <c r="O3130"/>
      <c r="P3130" s="412"/>
      <c r="Q3130" s="391"/>
      <c r="R3130" s="393"/>
    </row>
    <row r="3131" spans="1:18" ht="30" customHeight="1" x14ac:dyDescent="0.25">
      <c r="A3131" s="20"/>
      <c r="B3131" s="410"/>
      <c r="C3131" s="410"/>
      <c r="D3131" s="410"/>
      <c r="E3131" s="405"/>
      <c r="F3131" s="338" t="s">
        <v>533</v>
      </c>
      <c r="G3131" s="339" t="s">
        <v>534</v>
      </c>
      <c r="H3131" s="339"/>
      <c r="I3131" s="339"/>
      <c r="J3131" s="339"/>
      <c r="K3131" s="340">
        <v>1.07</v>
      </c>
      <c r="L3131" s="10"/>
      <c r="M3131" s="419"/>
      <c r="N3131" s="420"/>
      <c r="O3131"/>
      <c r="P3131" s="412"/>
      <c r="Q3131" s="391"/>
      <c r="R3131" s="393"/>
    </row>
    <row r="3132" spans="1:18" s="49" customFormat="1" ht="30" customHeight="1" x14ac:dyDescent="0.25">
      <c r="A3132" s="20"/>
      <c r="B3132" s="410"/>
      <c r="C3132" s="410"/>
      <c r="D3132" s="410"/>
      <c r="E3132" s="405"/>
      <c r="F3132" s="343"/>
      <c r="G3132" s="344" t="s">
        <v>535</v>
      </c>
      <c r="H3132" s="344"/>
      <c r="I3132" s="344"/>
      <c r="J3132" s="344"/>
      <c r="K3132" s="340">
        <v>1.02</v>
      </c>
      <c r="L3132" s="10"/>
      <c r="M3132" s="434"/>
      <c r="N3132" s="420"/>
      <c r="P3132" s="412"/>
      <c r="Q3132" s="391"/>
      <c r="R3132" s="393"/>
    </row>
    <row r="3133" spans="1:18" ht="30" customHeight="1" x14ac:dyDescent="0.25">
      <c r="A3133" s="20"/>
      <c r="B3133" s="20"/>
      <c r="C3133" s="18"/>
      <c r="D3133" s="18"/>
      <c r="E3133" s="18"/>
      <c r="F3133" s="18"/>
      <c r="G3133" s="18"/>
      <c r="H3133" s="18"/>
      <c r="I3133" s="18"/>
      <c r="J3133" s="20" t="s">
        <v>358</v>
      </c>
      <c r="K3133" s="23">
        <f>+K3130*K3131/K3132</f>
        <v>111.2961549019608</v>
      </c>
      <c r="L3133" s="20" t="s">
        <v>9</v>
      </c>
      <c r="M3133" s="434"/>
      <c r="N3133" s="420"/>
      <c r="O3133"/>
      <c r="P3133" s="412"/>
      <c r="Q3133" s="391"/>
      <c r="R3133" s="393"/>
    </row>
    <row r="3134" spans="1:18" ht="30" customHeight="1" thickBot="1" x14ac:dyDescent="0.3">
      <c r="A3134" s="20"/>
      <c r="B3134" s="20"/>
      <c r="C3134" s="18"/>
      <c r="D3134" s="18"/>
      <c r="E3134" s="18"/>
      <c r="F3134" s="18"/>
      <c r="G3134" s="413" t="s">
        <v>537</v>
      </c>
      <c r="H3134" s="18"/>
      <c r="I3134" s="18"/>
      <c r="J3134" s="361">
        <f>VLOOKUP(B3125,'Mil Cost Premiums for RUCs'!$A$4:$R$265,18,FALSE)</f>
        <v>1.1838860786480316</v>
      </c>
      <c r="K3134" s="23">
        <f>+K3133*J3134</f>
        <v>131.76196839548629</v>
      </c>
      <c r="L3134" s="20" t="s">
        <v>9</v>
      </c>
      <c r="M3134" s="434"/>
      <c r="N3134" s="420"/>
      <c r="O3134"/>
      <c r="P3134" s="412"/>
      <c r="Q3134" s="391"/>
      <c r="R3134" s="393"/>
    </row>
    <row r="3135" spans="1:18" ht="30" customHeight="1" thickBot="1" x14ac:dyDescent="0.3">
      <c r="A3135" s="76"/>
      <c r="B3135" s="77"/>
      <c r="C3135" s="77"/>
      <c r="D3135" s="77"/>
      <c r="E3135" s="77"/>
      <c r="F3135" s="77"/>
      <c r="G3135" s="77"/>
      <c r="H3135" s="77"/>
      <c r="I3135" s="77"/>
      <c r="J3135" s="77"/>
      <c r="K3135" s="77"/>
      <c r="L3135" s="78"/>
      <c r="M3135" s="419"/>
      <c r="N3135" s="420"/>
      <c r="O3135"/>
      <c r="P3135" s="412"/>
      <c r="Q3135" s="391"/>
      <c r="R3135" s="393"/>
    </row>
    <row r="3136" spans="1:18" ht="30" customHeight="1" x14ac:dyDescent="0.25">
      <c r="A3136" s="207" t="s">
        <v>288</v>
      </c>
      <c r="B3136" s="208">
        <v>7323</v>
      </c>
      <c r="C3136" s="209" t="s">
        <v>2119</v>
      </c>
      <c r="D3136" s="210"/>
      <c r="E3136" s="177" t="s">
        <v>291</v>
      </c>
      <c r="F3136" s="178" t="s">
        <v>9</v>
      </c>
      <c r="G3136" s="123" t="s">
        <v>375</v>
      </c>
      <c r="H3136" s="179">
        <v>2128</v>
      </c>
      <c r="I3136" s="177" t="s">
        <v>292</v>
      </c>
      <c r="J3136" s="38" t="s">
        <v>883</v>
      </c>
      <c r="K3136" s="38"/>
      <c r="L3136" s="389"/>
      <c r="M3136" s="419"/>
      <c r="N3136" s="420"/>
      <c r="O3136" s="43"/>
      <c r="P3136" s="672"/>
      <c r="Q3136" s="671"/>
      <c r="R3136" s="673"/>
    </row>
    <row r="3137" spans="1:18" ht="30" customHeight="1" x14ac:dyDescent="0.25">
      <c r="A3137" s="185" t="s">
        <v>529</v>
      </c>
      <c r="B3137" s="394" t="s">
        <v>560</v>
      </c>
      <c r="C3137" s="395"/>
      <c r="D3137" s="396"/>
      <c r="E3137" s="397" t="s">
        <v>519</v>
      </c>
      <c r="F3137" s="397" t="s">
        <v>561</v>
      </c>
      <c r="G3137" s="398" t="s">
        <v>562</v>
      </c>
      <c r="H3137" s="399"/>
      <c r="I3137" s="181" t="s">
        <v>530</v>
      </c>
      <c r="J3137" s="181"/>
      <c r="K3137" s="288" t="s">
        <v>521</v>
      </c>
      <c r="L3137" s="289"/>
      <c r="M3137" s="419"/>
      <c r="N3137" s="420"/>
      <c r="O3137" s="43"/>
      <c r="P3137" s="672"/>
      <c r="Q3137" s="671"/>
      <c r="R3137" s="673"/>
    </row>
    <row r="3138" spans="1:18" ht="30" customHeight="1" x14ac:dyDescent="0.25">
      <c r="A3138" s="778" t="s">
        <v>2120</v>
      </c>
      <c r="B3138" s="186" t="s">
        <v>2121</v>
      </c>
      <c r="C3138" s="186"/>
      <c r="D3138" s="186"/>
      <c r="E3138" s="405">
        <v>9.92</v>
      </c>
      <c r="F3138" s="20" t="s">
        <v>9</v>
      </c>
      <c r="G3138" s="20"/>
      <c r="H3138" s="20"/>
      <c r="I3138" s="20">
        <v>1.03</v>
      </c>
      <c r="J3138" s="20"/>
      <c r="K3138" s="405">
        <f>+E3138*I3138</f>
        <v>10.217600000000001</v>
      </c>
      <c r="L3138" s="20" t="s">
        <v>9</v>
      </c>
      <c r="M3138" s="419"/>
      <c r="N3138" s="420"/>
      <c r="O3138"/>
      <c r="P3138" s="412"/>
      <c r="Q3138" s="391"/>
      <c r="R3138" s="393"/>
    </row>
    <row r="3139" spans="1:18" ht="30" customHeight="1" x14ac:dyDescent="0.25">
      <c r="A3139" s="778" t="s">
        <v>2122</v>
      </c>
      <c r="B3139" s="503" t="s">
        <v>2123</v>
      </c>
      <c r="C3139" s="504"/>
      <c r="D3139" s="505"/>
      <c r="E3139" s="405">
        <f>(421+2090)/2</f>
        <v>1255.5</v>
      </c>
      <c r="F3139" s="1306" t="s">
        <v>11</v>
      </c>
      <c r="G3139" s="528">
        <f>(E3139)/H3136</f>
        <v>0.58999060150375937</v>
      </c>
      <c r="H3139" s="20" t="s">
        <v>9</v>
      </c>
      <c r="I3139" s="20">
        <v>1.03</v>
      </c>
      <c r="J3139" s="20"/>
      <c r="K3139" s="405">
        <f>G3139*I3139</f>
        <v>0.6076903195488722</v>
      </c>
      <c r="L3139" s="20" t="s">
        <v>9</v>
      </c>
      <c r="M3139" s="1368"/>
      <c r="N3139" s="420"/>
      <c r="O3139"/>
      <c r="P3139" s="412"/>
      <c r="Q3139" s="391"/>
      <c r="R3139" s="393"/>
    </row>
    <row r="3140" spans="1:18" ht="30" customHeight="1" x14ac:dyDescent="0.25">
      <c r="A3140" s="778" t="s">
        <v>2122</v>
      </c>
      <c r="B3140" s="402" t="s">
        <v>2124</v>
      </c>
      <c r="C3140" s="403"/>
      <c r="D3140" s="404"/>
      <c r="E3140" s="405">
        <f>(735+1890)/2</f>
        <v>1312.5</v>
      </c>
      <c r="F3140" s="1306" t="s">
        <v>11</v>
      </c>
      <c r="G3140" s="528">
        <f>(E3140)/H3136</f>
        <v>0.61677631578947367</v>
      </c>
      <c r="H3140" s="657" t="s">
        <v>9</v>
      </c>
      <c r="I3140" s="657">
        <v>1.03</v>
      </c>
      <c r="J3140" s="649"/>
      <c r="K3140" s="405">
        <f>G3140*I3140</f>
        <v>0.63527960526315785</v>
      </c>
      <c r="L3140" s="20" t="s">
        <v>9</v>
      </c>
      <c r="M3140" s="1368"/>
      <c r="N3140" s="420"/>
      <c r="O3140"/>
      <c r="P3140" s="412"/>
      <c r="Q3140" s="391"/>
      <c r="R3140" s="393"/>
    </row>
    <row r="3141" spans="1:18" ht="30" customHeight="1" x14ac:dyDescent="0.25">
      <c r="A3141" s="20"/>
      <c r="B3141" s="410"/>
      <c r="C3141" s="410"/>
      <c r="D3141" s="410"/>
      <c r="E3141" s="405"/>
      <c r="F3141" s="338" t="s">
        <v>533</v>
      </c>
      <c r="G3141" s="1064" t="s">
        <v>534</v>
      </c>
      <c r="H3141" s="1065"/>
      <c r="I3141" s="1065"/>
      <c r="J3141" s="1066"/>
      <c r="K3141" s="340">
        <v>1.05</v>
      </c>
      <c r="L3141" s="10"/>
      <c r="M3141" s="419"/>
      <c r="N3141" s="420"/>
      <c r="O3141"/>
      <c r="P3141" s="412"/>
      <c r="Q3141" s="391"/>
      <c r="R3141" s="393"/>
    </row>
    <row r="3142" spans="1:18" s="49" customFormat="1" ht="30" customHeight="1" x14ac:dyDescent="0.25">
      <c r="A3142" s="20"/>
      <c r="B3142" s="410"/>
      <c r="C3142" s="410"/>
      <c r="D3142" s="410"/>
      <c r="E3142" s="405"/>
      <c r="F3142" s="343"/>
      <c r="G3142" s="344" t="s">
        <v>535</v>
      </c>
      <c r="H3142" s="344"/>
      <c r="I3142" s="344"/>
      <c r="J3142" s="344"/>
      <c r="K3142" s="340">
        <v>1.02</v>
      </c>
      <c r="L3142" s="10"/>
      <c r="M3142" s="419"/>
      <c r="N3142" s="420"/>
      <c r="P3142" s="412"/>
      <c r="Q3142" s="391"/>
      <c r="R3142" s="393"/>
    </row>
    <row r="3143" spans="1:18" ht="30" customHeight="1" x14ac:dyDescent="0.25">
      <c r="A3143" s="20"/>
      <c r="B3143" s="20"/>
      <c r="C3143" s="18"/>
      <c r="D3143" s="18"/>
      <c r="E3143" s="18"/>
      <c r="F3143" s="18"/>
      <c r="G3143" s="18"/>
      <c r="H3143" s="18"/>
      <c r="I3143" s="18"/>
      <c r="J3143" s="20" t="s">
        <v>358</v>
      </c>
      <c r="K3143" s="23">
        <f>+(K3138+K3139+K3140)*K3141/K3142</f>
        <v>11.797645510835913</v>
      </c>
      <c r="L3143" s="20" t="s">
        <v>9</v>
      </c>
      <c r="M3143" s="670"/>
      <c r="N3143" s="420"/>
      <c r="O3143"/>
      <c r="P3143" s="412"/>
      <c r="Q3143" s="391"/>
      <c r="R3143" s="393"/>
    </row>
    <row r="3144" spans="1:18" ht="30" customHeight="1" thickBot="1" x14ac:dyDescent="0.3">
      <c r="A3144" s="20"/>
      <c r="B3144" s="20"/>
      <c r="C3144" s="18"/>
      <c r="D3144" s="18"/>
      <c r="E3144" s="18"/>
      <c r="F3144" s="18"/>
      <c r="G3144" s="413" t="s">
        <v>537</v>
      </c>
      <c r="H3144" s="18"/>
      <c r="I3144" s="18"/>
      <c r="J3144" s="361">
        <f>VLOOKUP(B3136,'Mil Cost Premiums for RUCs'!$A$4:$R$265,18,FALSE)</f>
        <v>1.0209999999999999</v>
      </c>
      <c r="K3144" s="23">
        <f>+K3143*J3144</f>
        <v>12.045396066563466</v>
      </c>
      <c r="L3144" s="20" t="s">
        <v>9</v>
      </c>
      <c r="M3144" s="670"/>
      <c r="N3144" s="420"/>
      <c r="O3144"/>
      <c r="P3144" s="412"/>
      <c r="Q3144" s="391"/>
      <c r="R3144" s="393"/>
    </row>
    <row r="3145" spans="1:18" ht="30" customHeight="1" thickBot="1" x14ac:dyDescent="0.3">
      <c r="A3145" s="76"/>
      <c r="B3145" s="77"/>
      <c r="C3145" s="77"/>
      <c r="D3145" s="77"/>
      <c r="E3145" s="77"/>
      <c r="F3145" s="77"/>
      <c r="G3145" s="77"/>
      <c r="H3145" s="77"/>
      <c r="I3145" s="77"/>
      <c r="J3145" s="77"/>
      <c r="K3145" s="77"/>
      <c r="L3145" s="78"/>
      <c r="M3145" s="419"/>
      <c r="N3145" s="671"/>
      <c r="O3145"/>
      <c r="P3145" s="412"/>
      <c r="Q3145" s="391"/>
      <c r="R3145" s="393"/>
    </row>
    <row r="3146" spans="1:18" ht="30" customHeight="1" x14ac:dyDescent="0.25">
      <c r="A3146" s="417" t="s">
        <v>288</v>
      </c>
      <c r="B3146" s="418">
        <v>7331</v>
      </c>
      <c r="C3146" s="1359" t="s">
        <v>2125</v>
      </c>
      <c r="D3146" s="1360"/>
      <c r="E3146" s="540" t="s">
        <v>291</v>
      </c>
      <c r="F3146" s="541" t="s">
        <v>9</v>
      </c>
      <c r="G3146" s="123" t="s">
        <v>375</v>
      </c>
      <c r="H3146" s="600">
        <v>2960</v>
      </c>
      <c r="I3146" s="540" t="s">
        <v>292</v>
      </c>
      <c r="J3146" s="38" t="s">
        <v>883</v>
      </c>
      <c r="K3146" s="38"/>
      <c r="L3146" s="389"/>
      <c r="N3146" s="671"/>
      <c r="O3146" s="43"/>
      <c r="P3146" s="672"/>
      <c r="Q3146" s="671"/>
      <c r="R3146" s="673"/>
    </row>
    <row r="3147" spans="1:18" ht="30" customHeight="1" x14ac:dyDescent="0.25">
      <c r="A3147" s="424" t="s">
        <v>529</v>
      </c>
      <c r="B3147" s="1361" t="s">
        <v>560</v>
      </c>
      <c r="C3147" s="1362"/>
      <c r="D3147" s="1363"/>
      <c r="E3147" s="1364" t="s">
        <v>519</v>
      </c>
      <c r="F3147" s="1364" t="s">
        <v>561</v>
      </c>
      <c r="G3147" s="321" t="s">
        <v>562</v>
      </c>
      <c r="H3147" s="1256"/>
      <c r="I3147" s="424" t="s">
        <v>530</v>
      </c>
      <c r="J3147" s="424"/>
      <c r="K3147" s="288" t="s">
        <v>521</v>
      </c>
      <c r="L3147" s="289"/>
      <c r="M3147" s="1342"/>
      <c r="N3147" s="420"/>
      <c r="O3147" s="43"/>
      <c r="P3147" s="672"/>
      <c r="Q3147" s="671"/>
      <c r="R3147" s="673"/>
    </row>
    <row r="3148" spans="1:18" ht="30" customHeight="1" x14ac:dyDescent="0.25">
      <c r="A3148" s="1345" t="s">
        <v>2126</v>
      </c>
      <c r="B3148" s="323" t="s">
        <v>2127</v>
      </c>
      <c r="C3148" s="324"/>
      <c r="D3148" s="325"/>
      <c r="E3148" s="326">
        <v>131.04</v>
      </c>
      <c r="F3148" s="5" t="s">
        <v>9</v>
      </c>
      <c r="G3148" s="697"/>
      <c r="H3148" s="698" t="s">
        <v>9</v>
      </c>
      <c r="I3148" s="10">
        <v>1.06</v>
      </c>
      <c r="J3148" s="10"/>
      <c r="K3148" s="326">
        <f>+E3148*I3148</f>
        <v>138.9024</v>
      </c>
      <c r="L3148" s="10" t="s">
        <v>9</v>
      </c>
      <c r="N3148" s="1365"/>
      <c r="O3148"/>
      <c r="P3148" s="412"/>
      <c r="Q3148" s="391"/>
      <c r="R3148" s="393"/>
    </row>
    <row r="3149" spans="1:18" ht="30" customHeight="1" x14ac:dyDescent="0.25">
      <c r="A3149" s="1345" t="s">
        <v>2128</v>
      </c>
      <c r="B3149" s="323" t="s">
        <v>2129</v>
      </c>
      <c r="C3149" s="324"/>
      <c r="D3149" s="325"/>
      <c r="E3149" s="326">
        <v>770</v>
      </c>
      <c r="F3149" s="5" t="s">
        <v>7</v>
      </c>
      <c r="G3149" s="1366">
        <f>(4*10*E3149)/H3146</f>
        <v>10.405405405405405</v>
      </c>
      <c r="H3149" s="698" t="s">
        <v>1353</v>
      </c>
      <c r="I3149" s="10">
        <v>1.04</v>
      </c>
      <c r="J3149" s="10"/>
      <c r="K3149" s="326">
        <f>+G3149*I3149</f>
        <v>10.821621621621622</v>
      </c>
      <c r="L3149" s="10" t="s">
        <v>9</v>
      </c>
      <c r="M3149" s="502"/>
      <c r="N3149" s="1365"/>
      <c r="O3149"/>
      <c r="P3149" s="412"/>
      <c r="Q3149" s="391"/>
      <c r="R3149" s="393"/>
    </row>
    <row r="3150" spans="1:18" ht="30" customHeight="1" x14ac:dyDescent="0.25">
      <c r="A3150" s="1345" t="s">
        <v>1316</v>
      </c>
      <c r="B3150" s="346" t="s">
        <v>2130</v>
      </c>
      <c r="C3150" s="347"/>
      <c r="D3150" s="348"/>
      <c r="E3150" s="326">
        <v>705</v>
      </c>
      <c r="F3150" s="5" t="s">
        <v>11</v>
      </c>
      <c r="G3150" s="1348">
        <f>4*2*E3150/H3146</f>
        <v>1.9054054054054055</v>
      </c>
      <c r="H3150" s="698" t="s">
        <v>1353</v>
      </c>
      <c r="I3150" s="10">
        <v>1.04</v>
      </c>
      <c r="J3150" s="10"/>
      <c r="K3150" s="326">
        <f>+G3150*I3150</f>
        <v>1.9816216216216218</v>
      </c>
      <c r="L3150" s="10" t="s">
        <v>9</v>
      </c>
      <c r="M3150" s="419"/>
      <c r="O3150"/>
      <c r="P3150" s="412"/>
      <c r="Q3150" s="391"/>
      <c r="R3150" s="393"/>
    </row>
    <row r="3151" spans="1:18" ht="30" customHeight="1" x14ac:dyDescent="0.25">
      <c r="A3151" s="1345" t="s">
        <v>1915</v>
      </c>
      <c r="B3151" s="323" t="s">
        <v>2058</v>
      </c>
      <c r="C3151" s="324"/>
      <c r="D3151" s="325"/>
      <c r="E3151" s="326">
        <v>4.0599999999999996</v>
      </c>
      <c r="F3151" s="5" t="s">
        <v>9</v>
      </c>
      <c r="G3151" s="697"/>
      <c r="H3151" s="698" t="s">
        <v>9</v>
      </c>
      <c r="I3151" s="10">
        <v>1.06</v>
      </c>
      <c r="J3151" s="10"/>
      <c r="K3151" s="326">
        <f>+E3151*I3151</f>
        <v>4.3035999999999994</v>
      </c>
      <c r="L3151" s="10" t="s">
        <v>9</v>
      </c>
      <c r="M3151" s="419"/>
      <c r="N3151" s="502"/>
      <c r="O3151"/>
      <c r="P3151" s="412"/>
      <c r="Q3151" s="391"/>
      <c r="R3151" s="393"/>
    </row>
    <row r="3152" spans="1:18" s="49" customFormat="1" ht="30" customHeight="1" x14ac:dyDescent="0.25">
      <c r="A3152" s="1331"/>
      <c r="B3152" s="552"/>
      <c r="C3152" s="552"/>
      <c r="D3152" s="552"/>
      <c r="E3152" s="326"/>
      <c r="F3152" s="10"/>
      <c r="G3152" s="1055"/>
      <c r="H3152" s="10"/>
      <c r="I3152" s="10"/>
      <c r="J3152" s="10" t="s">
        <v>578</v>
      </c>
      <c r="K3152" s="326">
        <f>SUM(K3148:K3151)</f>
        <v>156.00924324324325</v>
      </c>
      <c r="L3152" s="10" t="s">
        <v>9</v>
      </c>
      <c r="M3152" s="419"/>
      <c r="N3152" s="420"/>
      <c r="P3152" s="412"/>
      <c r="Q3152" s="391"/>
      <c r="R3152" s="393"/>
    </row>
    <row r="3153" spans="1:18" s="49" customFormat="1" ht="30" customHeight="1" x14ac:dyDescent="0.25">
      <c r="A3153" s="20"/>
      <c r="B3153" s="410"/>
      <c r="C3153" s="410"/>
      <c r="D3153" s="410"/>
      <c r="E3153" s="405"/>
      <c r="F3153" s="338" t="s">
        <v>533</v>
      </c>
      <c r="G3153" s="339" t="s">
        <v>534</v>
      </c>
      <c r="H3153" s="339"/>
      <c r="I3153" s="339"/>
      <c r="J3153" s="339"/>
      <c r="K3153" s="340">
        <v>1.07</v>
      </c>
      <c r="L3153" s="10"/>
      <c r="M3153" s="670"/>
      <c r="N3153" s="420"/>
      <c r="P3153" s="412"/>
      <c r="Q3153" s="391"/>
      <c r="R3153" s="393"/>
    </row>
    <row r="3154" spans="1:18" s="49" customFormat="1" ht="30" customHeight="1" x14ac:dyDescent="0.25">
      <c r="A3154" s="20"/>
      <c r="B3154" s="410"/>
      <c r="C3154" s="410"/>
      <c r="D3154" s="410"/>
      <c r="E3154" s="405"/>
      <c r="F3154" s="343"/>
      <c r="G3154" s="344" t="s">
        <v>535</v>
      </c>
      <c r="H3154" s="344"/>
      <c r="I3154" s="344"/>
      <c r="J3154" s="344"/>
      <c r="K3154" s="340">
        <v>1.02</v>
      </c>
      <c r="L3154" s="10"/>
      <c r="M3154" s="670"/>
      <c r="N3154" s="420"/>
      <c r="P3154" s="412"/>
      <c r="Q3154" s="391"/>
      <c r="R3154" s="393"/>
    </row>
    <row r="3155" spans="1:18" ht="30" customHeight="1" x14ac:dyDescent="0.25">
      <c r="A3155" s="1161" t="s">
        <v>2131</v>
      </c>
      <c r="B3155" s="1162"/>
      <c r="C3155" s="1162"/>
      <c r="D3155" s="1162"/>
      <c r="E3155" s="1162"/>
      <c r="F3155" s="1162"/>
      <c r="G3155" s="1162"/>
      <c r="H3155" s="1163"/>
      <c r="I3155" s="13"/>
      <c r="J3155" s="10" t="s">
        <v>358</v>
      </c>
      <c r="K3155" s="14">
        <f>+K3152*K3153/K3154</f>
        <v>163.65675516693165</v>
      </c>
      <c r="L3155" s="10" t="s">
        <v>9</v>
      </c>
      <c r="M3155" s="1356"/>
      <c r="N3155" s="671"/>
      <c r="O3155"/>
      <c r="P3155" s="412"/>
      <c r="Q3155" s="391"/>
      <c r="R3155" s="393"/>
    </row>
    <row r="3156" spans="1:18" ht="30" customHeight="1" x14ac:dyDescent="0.25">
      <c r="A3156" s="1367"/>
      <c r="B3156" s="1367"/>
      <c r="C3156" s="1367"/>
      <c r="D3156" s="1367"/>
      <c r="E3156" s="1367"/>
      <c r="F3156" s="1367"/>
      <c r="G3156" s="556"/>
      <c r="H3156" s="1367"/>
      <c r="I3156" s="969" t="s">
        <v>652</v>
      </c>
      <c r="J3156" s="361">
        <f>VLOOKUP(B3146,'Mil Cost Premiums for RUCs'!$A$4:$R$265,18,FALSE)</f>
        <v>1.290538574246207</v>
      </c>
      <c r="K3156" s="14">
        <f>+K3155*J3156</f>
        <v>211.20535547889253</v>
      </c>
      <c r="L3156" s="10" t="s">
        <v>9</v>
      </c>
      <c r="M3156" s="1356"/>
      <c r="N3156" s="671"/>
      <c r="O3156"/>
      <c r="P3156" s="412"/>
      <c r="Q3156" s="391"/>
      <c r="R3156" s="393"/>
    </row>
    <row r="3157" spans="1:18" ht="30" customHeight="1" x14ac:dyDescent="0.25">
      <c r="A3157" s="577" t="s">
        <v>538</v>
      </c>
      <c r="B3157" s="578"/>
      <c r="C3157" s="578"/>
      <c r="D3157" s="578"/>
      <c r="E3157" s="578"/>
      <c r="F3157" s="578"/>
      <c r="G3157" s="578"/>
      <c r="H3157" s="578"/>
      <c r="I3157" s="578"/>
      <c r="J3157" s="578"/>
      <c r="K3157" s="578"/>
      <c r="L3157" s="579"/>
      <c r="M3157" s="419"/>
      <c r="N3157" s="1356"/>
      <c r="O3157"/>
      <c r="P3157" s="412"/>
      <c r="Q3157" s="391"/>
      <c r="R3157" s="393"/>
    </row>
    <row r="3158" spans="1:18" ht="30" customHeight="1" x14ac:dyDescent="0.25">
      <c r="A3158" s="217" t="s">
        <v>539</v>
      </c>
      <c r="B3158" s="218"/>
      <c r="C3158" s="219"/>
      <c r="D3158" s="386" t="s">
        <v>2132</v>
      </c>
      <c r="E3158" s="849"/>
      <c r="F3158" s="849"/>
      <c r="G3158" s="849"/>
      <c r="H3158" s="849"/>
      <c r="I3158" s="849"/>
      <c r="J3158" s="849"/>
      <c r="K3158" s="849"/>
      <c r="L3158" s="850"/>
      <c r="M3158" s="419"/>
      <c r="N3158" s="1356"/>
      <c r="O3158"/>
      <c r="P3158" s="412"/>
      <c r="Q3158" s="391"/>
      <c r="R3158" s="393"/>
    </row>
    <row r="3159" spans="1:18" ht="30" customHeight="1" x14ac:dyDescent="0.25">
      <c r="A3159" s="217" t="s">
        <v>541</v>
      </c>
      <c r="B3159" s="218"/>
      <c r="C3159" s="219"/>
      <c r="D3159" s="386" t="s">
        <v>2133</v>
      </c>
      <c r="E3159" s="849"/>
      <c r="F3159" s="849"/>
      <c r="G3159" s="849"/>
      <c r="H3159" s="849"/>
      <c r="I3159" s="849"/>
      <c r="J3159" s="849"/>
      <c r="K3159" s="849"/>
      <c r="L3159" s="850"/>
      <c r="M3159" s="425"/>
      <c r="N3159" s="420"/>
      <c r="O3159" s="43"/>
      <c r="P3159" s="672"/>
      <c r="Q3159" s="671"/>
      <c r="R3159" s="673"/>
    </row>
    <row r="3160" spans="1:18" ht="30" customHeight="1" x14ac:dyDescent="0.25">
      <c r="A3160" s="217" t="s">
        <v>543</v>
      </c>
      <c r="B3160" s="218"/>
      <c r="C3160" s="219"/>
      <c r="D3160" s="386" t="s">
        <v>2134</v>
      </c>
      <c r="E3160" s="849"/>
      <c r="F3160" s="849"/>
      <c r="G3160" s="849"/>
      <c r="H3160" s="849"/>
      <c r="I3160" s="849"/>
      <c r="J3160" s="849"/>
      <c r="K3160" s="849"/>
      <c r="L3160" s="850"/>
      <c r="N3160" s="420"/>
      <c r="O3160" s="43"/>
      <c r="P3160" s="672"/>
      <c r="Q3160" s="671"/>
      <c r="R3160" s="673"/>
    </row>
    <row r="3161" spans="1:18" ht="30" customHeight="1" x14ac:dyDescent="0.25">
      <c r="A3161" s="217" t="s">
        <v>546</v>
      </c>
      <c r="B3161" s="218"/>
      <c r="C3161" s="219"/>
      <c r="D3161" s="386" t="s">
        <v>2135</v>
      </c>
      <c r="E3161" s="849"/>
      <c r="F3161" s="849"/>
      <c r="G3161" s="849"/>
      <c r="H3161" s="849"/>
      <c r="I3161" s="849"/>
      <c r="J3161" s="849"/>
      <c r="K3161" s="849"/>
      <c r="L3161" s="850"/>
      <c r="N3161" s="420"/>
      <c r="O3161"/>
      <c r="P3161" s="412"/>
      <c r="Q3161" s="391"/>
      <c r="R3161" s="393"/>
    </row>
    <row r="3162" spans="1:18" ht="30" customHeight="1" x14ac:dyDescent="0.25">
      <c r="A3162" s="217" t="s">
        <v>548</v>
      </c>
      <c r="B3162" s="218"/>
      <c r="C3162" s="219"/>
      <c r="D3162" s="386" t="s">
        <v>2136</v>
      </c>
      <c r="E3162" s="849"/>
      <c r="F3162" s="849"/>
      <c r="G3162" s="849"/>
      <c r="H3162" s="849"/>
      <c r="I3162" s="849"/>
      <c r="J3162" s="849"/>
      <c r="K3162" s="849"/>
      <c r="L3162" s="850"/>
      <c r="M3162" s="1368"/>
      <c r="N3162" s="420"/>
      <c r="O3162"/>
      <c r="P3162" s="412"/>
      <c r="Q3162" s="391"/>
      <c r="R3162" s="393"/>
    </row>
    <row r="3163" spans="1:18" ht="30" customHeight="1" x14ac:dyDescent="0.25">
      <c r="A3163" s="217" t="s">
        <v>550</v>
      </c>
      <c r="B3163" s="218"/>
      <c r="C3163" s="219"/>
      <c r="D3163" s="386" t="s">
        <v>2048</v>
      </c>
      <c r="E3163" s="849"/>
      <c r="F3163" s="849"/>
      <c r="G3163" s="849"/>
      <c r="H3163" s="849"/>
      <c r="I3163" s="849"/>
      <c r="J3163" s="849"/>
      <c r="K3163" s="849"/>
      <c r="L3163" s="850"/>
      <c r="M3163" s="419"/>
      <c r="N3163" s="420"/>
      <c r="O3163"/>
      <c r="P3163" s="412"/>
      <c r="Q3163" s="391"/>
      <c r="R3163" s="393"/>
    </row>
    <row r="3164" spans="1:18" ht="30" customHeight="1" x14ac:dyDescent="0.25">
      <c r="A3164" s="217" t="s">
        <v>552</v>
      </c>
      <c r="B3164" s="218"/>
      <c r="C3164" s="219"/>
      <c r="D3164" s="386" t="s">
        <v>2137</v>
      </c>
      <c r="E3164" s="849"/>
      <c r="F3164" s="849"/>
      <c r="G3164" s="849"/>
      <c r="H3164" s="849"/>
      <c r="I3164" s="849"/>
      <c r="J3164" s="849"/>
      <c r="K3164" s="849"/>
      <c r="L3164" s="850"/>
      <c r="M3164" s="419"/>
      <c r="N3164" s="420"/>
      <c r="O3164"/>
      <c r="P3164" s="412"/>
      <c r="Q3164" s="391"/>
      <c r="R3164" s="393"/>
    </row>
    <row r="3165" spans="1:18" s="49" customFormat="1" ht="30" customHeight="1" x14ac:dyDescent="0.25">
      <c r="A3165" s="217" t="s">
        <v>553</v>
      </c>
      <c r="B3165" s="218"/>
      <c r="C3165" s="219"/>
      <c r="D3165" s="386" t="s">
        <v>660</v>
      </c>
      <c r="E3165" s="849"/>
      <c r="F3165" s="849"/>
      <c r="G3165" s="849"/>
      <c r="H3165" s="849"/>
      <c r="I3165" s="849"/>
      <c r="J3165" s="849"/>
      <c r="K3165" s="849"/>
      <c r="L3165" s="850"/>
      <c r="M3165" s="419"/>
      <c r="N3165" s="420"/>
      <c r="P3165" s="412"/>
      <c r="Q3165" s="391"/>
      <c r="R3165" s="393"/>
    </row>
    <row r="3166" spans="1:18" ht="30" customHeight="1" thickBot="1" x14ac:dyDescent="0.3">
      <c r="A3166" s="217" t="s">
        <v>556</v>
      </c>
      <c r="B3166" s="218"/>
      <c r="C3166" s="219"/>
      <c r="D3166" s="386" t="s">
        <v>2138</v>
      </c>
      <c r="E3166" s="849"/>
      <c r="F3166" s="849"/>
      <c r="G3166" s="849"/>
      <c r="H3166" s="849"/>
      <c r="I3166" s="849"/>
      <c r="J3166" s="849"/>
      <c r="K3166" s="849"/>
      <c r="L3166" s="850"/>
      <c r="M3166" s="670"/>
      <c r="N3166" s="420"/>
      <c r="O3166"/>
      <c r="P3166" s="412"/>
      <c r="Q3166" s="391"/>
      <c r="R3166" s="393"/>
    </row>
    <row r="3167" spans="1:18" ht="30" customHeight="1" thickBot="1" x14ac:dyDescent="0.3">
      <c r="A3167" s="76"/>
      <c r="B3167" s="77"/>
      <c r="C3167" s="77"/>
      <c r="D3167" s="77"/>
      <c r="E3167" s="77"/>
      <c r="F3167" s="77"/>
      <c r="G3167" s="77"/>
      <c r="H3167" s="77"/>
      <c r="I3167" s="77"/>
      <c r="J3167" s="77"/>
      <c r="K3167" s="77"/>
      <c r="L3167" s="78"/>
      <c r="M3167" s="670"/>
      <c r="N3167" s="420"/>
      <c r="O3167" s="43"/>
      <c r="P3167" s="672"/>
      <c r="Q3167" s="671"/>
      <c r="R3167" s="673"/>
    </row>
    <row r="3168" spans="1:18" ht="30" customHeight="1" x14ac:dyDescent="0.25">
      <c r="A3168" s="417" t="s">
        <v>288</v>
      </c>
      <c r="B3168" s="418">
        <v>7333</v>
      </c>
      <c r="C3168" s="415" t="s">
        <v>2139</v>
      </c>
      <c r="D3168" s="416"/>
      <c r="E3168" s="540" t="s">
        <v>291</v>
      </c>
      <c r="F3168" s="541" t="s">
        <v>9</v>
      </c>
      <c r="G3168" s="123" t="s">
        <v>375</v>
      </c>
      <c r="H3168" s="600">
        <v>13065</v>
      </c>
      <c r="I3168" s="540" t="s">
        <v>292</v>
      </c>
      <c r="J3168" s="38" t="s">
        <v>883</v>
      </c>
      <c r="K3168" s="38"/>
      <c r="L3168" s="389"/>
      <c r="M3168" s="419"/>
      <c r="N3168" s="671"/>
      <c r="O3168" s="43"/>
      <c r="P3168" s="672"/>
      <c r="Q3168" s="671"/>
      <c r="R3168" s="673"/>
    </row>
    <row r="3169" spans="1:18" ht="30" customHeight="1" x14ac:dyDescent="0.25">
      <c r="A3169" s="424" t="s">
        <v>529</v>
      </c>
      <c r="B3169" s="1361" t="s">
        <v>560</v>
      </c>
      <c r="C3169" s="1362"/>
      <c r="D3169" s="1363"/>
      <c r="E3169" s="1364" t="s">
        <v>519</v>
      </c>
      <c r="F3169" s="1364" t="s">
        <v>561</v>
      </c>
      <c r="G3169" s="321" t="s">
        <v>562</v>
      </c>
      <c r="H3169" s="1256"/>
      <c r="I3169" s="424" t="s">
        <v>530</v>
      </c>
      <c r="J3169" s="424"/>
      <c r="K3169" s="288" t="s">
        <v>521</v>
      </c>
      <c r="L3169" s="289"/>
      <c r="M3169" s="419"/>
      <c r="N3169" s="671"/>
      <c r="O3169"/>
      <c r="P3169" s="412"/>
      <c r="Q3169" s="391"/>
      <c r="R3169" s="393"/>
    </row>
    <row r="3170" spans="1:18" ht="30" customHeight="1" x14ac:dyDescent="0.25">
      <c r="A3170" s="1345" t="s">
        <v>2140</v>
      </c>
      <c r="B3170" s="323" t="s">
        <v>2141</v>
      </c>
      <c r="C3170" s="324"/>
      <c r="D3170" s="325"/>
      <c r="E3170" s="326">
        <v>122.51</v>
      </c>
      <c r="F3170" s="5" t="s">
        <v>9</v>
      </c>
      <c r="G3170" s="697"/>
      <c r="H3170" s="698" t="s">
        <v>9</v>
      </c>
      <c r="I3170" s="10">
        <v>1.06</v>
      </c>
      <c r="J3170" s="10"/>
      <c r="K3170" s="326">
        <f>+E3170*I3170</f>
        <v>129.86060000000001</v>
      </c>
      <c r="L3170" s="10" t="s">
        <v>9</v>
      </c>
      <c r="M3170" s="419"/>
      <c r="N3170" s="420"/>
      <c r="O3170"/>
      <c r="P3170" s="412"/>
      <c r="Q3170" s="391"/>
      <c r="R3170" s="393"/>
    </row>
    <row r="3171" spans="1:18" ht="30" customHeight="1" x14ac:dyDescent="0.25">
      <c r="A3171" s="1345" t="s">
        <v>2128</v>
      </c>
      <c r="B3171" s="323" t="s">
        <v>2142</v>
      </c>
      <c r="C3171" s="324"/>
      <c r="D3171" s="325"/>
      <c r="E3171" s="326">
        <v>770</v>
      </c>
      <c r="F3171" s="5" t="s">
        <v>7</v>
      </c>
      <c r="G3171" s="1366">
        <f>(2*10*E3171)/H3168</f>
        <v>1.178721775736701</v>
      </c>
      <c r="H3171" s="698" t="s">
        <v>1353</v>
      </c>
      <c r="I3171" s="10">
        <v>1.04</v>
      </c>
      <c r="J3171" s="10"/>
      <c r="K3171" s="326">
        <f>+G3171*I3171</f>
        <v>1.2258706467661691</v>
      </c>
      <c r="L3171" s="10" t="s">
        <v>9</v>
      </c>
      <c r="M3171" s="419"/>
      <c r="N3171" s="420"/>
      <c r="O3171"/>
      <c r="P3171" s="412"/>
      <c r="Q3171" s="391"/>
      <c r="R3171" s="393"/>
    </row>
    <row r="3172" spans="1:18" ht="30" customHeight="1" x14ac:dyDescent="0.25">
      <c r="A3172" s="1345" t="s">
        <v>1316</v>
      </c>
      <c r="B3172" s="346" t="s">
        <v>2143</v>
      </c>
      <c r="C3172" s="347"/>
      <c r="D3172" s="348"/>
      <c r="E3172" s="326">
        <v>705</v>
      </c>
      <c r="F3172" s="5" t="s">
        <v>11</v>
      </c>
      <c r="G3172" s="1369">
        <f>4*E3172/H3168</f>
        <v>0.21584385763490241</v>
      </c>
      <c r="H3172" s="698" t="s">
        <v>1353</v>
      </c>
      <c r="I3172" s="10">
        <v>1.04</v>
      </c>
      <c r="J3172" s="10"/>
      <c r="K3172" s="326">
        <f>+G3172*I3172</f>
        <v>0.2244776119402985</v>
      </c>
      <c r="L3172" s="10" t="s">
        <v>9</v>
      </c>
      <c r="N3172" s="420"/>
      <c r="O3172"/>
      <c r="P3172" s="412"/>
      <c r="Q3172" s="391"/>
      <c r="R3172" s="393"/>
    </row>
    <row r="3173" spans="1:18" s="49" customFormat="1" ht="30" customHeight="1" x14ac:dyDescent="0.25">
      <c r="A3173" s="1345" t="s">
        <v>2144</v>
      </c>
      <c r="B3173" s="323" t="s">
        <v>2145</v>
      </c>
      <c r="C3173" s="324"/>
      <c r="D3173" s="325"/>
      <c r="E3173" s="326">
        <v>50250</v>
      </c>
      <c r="F3173" s="5" t="s">
        <v>11</v>
      </c>
      <c r="G3173" s="1369">
        <f>+E3173/H3168</f>
        <v>3.8461538461538463</v>
      </c>
      <c r="H3173" s="698" t="s">
        <v>1353</v>
      </c>
      <c r="I3173" s="10">
        <v>1.06</v>
      </c>
      <c r="J3173" s="10"/>
      <c r="K3173" s="326">
        <f>+G3173*I3173</f>
        <v>4.0769230769230775</v>
      </c>
      <c r="L3173" s="10" t="s">
        <v>9</v>
      </c>
      <c r="M3173" s="419"/>
      <c r="N3173" s="420"/>
      <c r="P3173" s="412"/>
      <c r="Q3173" s="391"/>
      <c r="R3173" s="393"/>
    </row>
    <row r="3174" spans="1:18" ht="30" customHeight="1" x14ac:dyDescent="0.25">
      <c r="A3174" s="1345" t="s">
        <v>2144</v>
      </c>
      <c r="B3174" s="323" t="s">
        <v>2146</v>
      </c>
      <c r="C3174" s="324"/>
      <c r="D3174" s="325"/>
      <c r="E3174" s="326">
        <v>43300</v>
      </c>
      <c r="F3174" s="5" t="s">
        <v>11</v>
      </c>
      <c r="G3174" s="1369">
        <f>+E3174/H3168</f>
        <v>3.314198239571374</v>
      </c>
      <c r="H3174" s="698" t="s">
        <v>1353</v>
      </c>
      <c r="I3174" s="10">
        <v>1.06</v>
      </c>
      <c r="J3174" s="10"/>
      <c r="K3174" s="326">
        <f>+G3174*I3174</f>
        <v>3.5130501339456566</v>
      </c>
      <c r="L3174" s="10" t="s">
        <v>9</v>
      </c>
      <c r="M3174" s="433"/>
      <c r="N3174" s="420"/>
      <c r="O3174"/>
      <c r="P3174" s="412"/>
      <c r="Q3174" s="391"/>
      <c r="R3174" s="393"/>
    </row>
    <row r="3175" spans="1:18" ht="30" customHeight="1" x14ac:dyDescent="0.25">
      <c r="A3175" s="1345" t="s">
        <v>1915</v>
      </c>
      <c r="B3175" s="323" t="s">
        <v>692</v>
      </c>
      <c r="C3175" s="324"/>
      <c r="D3175" s="325"/>
      <c r="E3175" s="326">
        <v>3.13</v>
      </c>
      <c r="F3175" s="5" t="s">
        <v>9</v>
      </c>
      <c r="G3175" s="1370">
        <v>1</v>
      </c>
      <c r="H3175" s="698" t="s">
        <v>9</v>
      </c>
      <c r="I3175" s="10">
        <v>1.06</v>
      </c>
      <c r="J3175" s="10"/>
      <c r="K3175" s="326">
        <f>+E3175*I3175</f>
        <v>3.3178000000000001</v>
      </c>
      <c r="L3175" s="10" t="s">
        <v>9</v>
      </c>
      <c r="M3175" s="670"/>
      <c r="N3175" s="420"/>
      <c r="O3175"/>
      <c r="P3175" s="412"/>
      <c r="Q3175" s="391"/>
      <c r="R3175" s="393"/>
    </row>
    <row r="3176" spans="1:18" ht="30" customHeight="1" x14ac:dyDescent="0.25">
      <c r="A3176" s="1345" t="s">
        <v>664</v>
      </c>
      <c r="B3176" s="323" t="s">
        <v>2147</v>
      </c>
      <c r="C3176" s="324"/>
      <c r="D3176" s="325"/>
      <c r="E3176" s="326">
        <f>(19.15+29.75)/2</f>
        <v>24.45</v>
      </c>
      <c r="F3176" s="5" t="s">
        <v>2087</v>
      </c>
      <c r="G3176" s="1369">
        <f>81*23.88/H3168</f>
        <v>0.14805051664753158</v>
      </c>
      <c r="H3176" s="698" t="s">
        <v>1353</v>
      </c>
      <c r="I3176" s="10">
        <v>1.02</v>
      </c>
      <c r="J3176" s="10"/>
      <c r="K3176" s="326">
        <f t="shared" ref="K3176:K3181" si="54">+G3176*I3176</f>
        <v>0.1510115269804822</v>
      </c>
      <c r="L3176" s="10" t="s">
        <v>9</v>
      </c>
      <c r="M3176" s="419"/>
      <c r="N3176" s="671"/>
      <c r="O3176"/>
      <c r="P3176" s="412"/>
      <c r="Q3176" s="391"/>
      <c r="R3176" s="393"/>
    </row>
    <row r="3177" spans="1:18" ht="30" customHeight="1" x14ac:dyDescent="0.25">
      <c r="A3177" s="1345" t="s">
        <v>664</v>
      </c>
      <c r="B3177" s="323" t="s">
        <v>2148</v>
      </c>
      <c r="C3177" s="324"/>
      <c r="D3177" s="325"/>
      <c r="E3177" s="326">
        <f>(1610+2280)/2</f>
        <v>1945</v>
      </c>
      <c r="F3177" s="5" t="s">
        <v>11</v>
      </c>
      <c r="G3177" s="1369">
        <f>+E3177/H3168</f>
        <v>0.1488710294680444</v>
      </c>
      <c r="H3177" s="698" t="s">
        <v>1353</v>
      </c>
      <c r="I3177" s="10">
        <v>1.02</v>
      </c>
      <c r="J3177" s="10"/>
      <c r="K3177" s="326">
        <f t="shared" si="54"/>
        <v>0.1518484500574053</v>
      </c>
      <c r="L3177" s="10" t="s">
        <v>9</v>
      </c>
      <c r="M3177" s="419"/>
      <c r="N3177" s="671"/>
      <c r="O3177"/>
      <c r="P3177" s="412"/>
      <c r="Q3177" s="391"/>
      <c r="R3177" s="393"/>
    </row>
    <row r="3178" spans="1:18" ht="30" customHeight="1" x14ac:dyDescent="0.25">
      <c r="A3178" s="1345" t="s">
        <v>668</v>
      </c>
      <c r="B3178" s="323" t="s">
        <v>2149</v>
      </c>
      <c r="C3178" s="324"/>
      <c r="D3178" s="325"/>
      <c r="E3178" s="326">
        <f>(31.5+75)/2</f>
        <v>53.25</v>
      </c>
      <c r="F3178" s="5" t="s">
        <v>7</v>
      </c>
      <c r="G3178" s="1369">
        <f>+E3178*10/H3168</f>
        <v>4.0757749712973593E-2</v>
      </c>
      <c r="H3178" s="698" t="s">
        <v>1353</v>
      </c>
      <c r="I3178" s="10">
        <v>1.04</v>
      </c>
      <c r="J3178" s="10"/>
      <c r="K3178" s="326">
        <f t="shared" si="54"/>
        <v>4.2388059701492536E-2</v>
      </c>
      <c r="L3178" s="10" t="s">
        <v>9</v>
      </c>
      <c r="M3178" s="419"/>
      <c r="N3178" s="420"/>
      <c r="O3178"/>
      <c r="P3178" s="412"/>
      <c r="Q3178" s="391"/>
      <c r="R3178" s="393"/>
    </row>
    <row r="3179" spans="1:18" ht="30" customHeight="1" x14ac:dyDescent="0.25">
      <c r="A3179" s="1345" t="s">
        <v>668</v>
      </c>
      <c r="B3179" s="323" t="s">
        <v>2091</v>
      </c>
      <c r="C3179" s="324"/>
      <c r="D3179" s="325"/>
      <c r="E3179" s="326">
        <f>(5900+11300)/2</f>
        <v>8600</v>
      </c>
      <c r="F3179" s="5" t="s">
        <v>11</v>
      </c>
      <c r="G3179" s="1369">
        <f>+E3179/H3168</f>
        <v>0.65824722541140457</v>
      </c>
      <c r="H3179" s="698" t="s">
        <v>1353</v>
      </c>
      <c r="I3179" s="10">
        <v>1.04</v>
      </c>
      <c r="J3179" s="10"/>
      <c r="K3179" s="326">
        <f t="shared" si="54"/>
        <v>0.68457711442786073</v>
      </c>
      <c r="L3179" s="10" t="s">
        <v>9</v>
      </c>
      <c r="M3179" s="419"/>
      <c r="N3179" s="420"/>
      <c r="O3179" s="43"/>
      <c r="P3179" s="672"/>
      <c r="Q3179" s="671"/>
      <c r="R3179" s="673"/>
    </row>
    <row r="3180" spans="1:18" ht="30" customHeight="1" x14ac:dyDescent="0.25">
      <c r="A3180" s="1345" t="s">
        <v>668</v>
      </c>
      <c r="B3180" s="323" t="s">
        <v>1360</v>
      </c>
      <c r="C3180" s="324"/>
      <c r="D3180" s="325"/>
      <c r="E3180" s="326">
        <f>(605+925)/2</f>
        <v>765</v>
      </c>
      <c r="F3180" s="5" t="s">
        <v>11</v>
      </c>
      <c r="G3180" s="1369">
        <f>+E3180/H3168</f>
        <v>5.8553386911595867E-2</v>
      </c>
      <c r="H3180" s="698" t="s">
        <v>1353</v>
      </c>
      <c r="I3180" s="10">
        <v>1.04</v>
      </c>
      <c r="J3180" s="10"/>
      <c r="K3180" s="326">
        <f t="shared" si="54"/>
        <v>6.0895522388059703E-2</v>
      </c>
      <c r="L3180" s="10" t="s">
        <v>9</v>
      </c>
      <c r="M3180" s="425"/>
      <c r="N3180" s="420"/>
      <c r="O3180" s="43"/>
      <c r="P3180" s="672"/>
      <c r="Q3180" s="671"/>
      <c r="R3180" s="673"/>
    </row>
    <row r="3181" spans="1:18" ht="30" customHeight="1" x14ac:dyDescent="0.25">
      <c r="A3181" s="1345" t="s">
        <v>668</v>
      </c>
      <c r="B3181" s="323" t="s">
        <v>673</v>
      </c>
      <c r="C3181" s="324"/>
      <c r="D3181" s="325"/>
      <c r="E3181" s="326">
        <f>(1060+3175)/2</f>
        <v>2117.5</v>
      </c>
      <c r="F3181" s="5" t="s">
        <v>11</v>
      </c>
      <c r="G3181" s="1369">
        <f>+E3181/H3168</f>
        <v>0.1620742441637964</v>
      </c>
      <c r="H3181" s="698" t="s">
        <v>1353</v>
      </c>
      <c r="I3181" s="10">
        <v>1.04</v>
      </c>
      <c r="J3181" s="10"/>
      <c r="K3181" s="326">
        <f t="shared" si="54"/>
        <v>0.16855721393034825</v>
      </c>
      <c r="L3181" s="10" t="s">
        <v>9</v>
      </c>
      <c r="M3181" s="419"/>
      <c r="N3181" s="420"/>
      <c r="O3181"/>
      <c r="P3181" s="412"/>
      <c r="Q3181" s="391"/>
      <c r="R3181" s="393"/>
    </row>
    <row r="3182" spans="1:18" ht="30" customHeight="1" x14ac:dyDescent="0.25">
      <c r="A3182" s="1331"/>
      <c r="B3182" s="552"/>
      <c r="C3182" s="552"/>
      <c r="D3182" s="552"/>
      <c r="E3182" s="326"/>
      <c r="F3182" s="10"/>
      <c r="G3182" s="1055"/>
      <c r="H3182" s="10"/>
      <c r="I3182" s="10"/>
      <c r="J3182" s="10" t="s">
        <v>578</v>
      </c>
      <c r="K3182" s="326">
        <f>SUM(K3170:K3181)</f>
        <v>143.47799935706084</v>
      </c>
      <c r="L3182" s="10" t="s">
        <v>9</v>
      </c>
      <c r="M3182" s="419"/>
      <c r="N3182" s="420"/>
      <c r="O3182"/>
      <c r="P3182" s="412"/>
      <c r="Q3182" s="391"/>
      <c r="R3182" s="393"/>
    </row>
    <row r="3183" spans="1:18" ht="30" customHeight="1" x14ac:dyDescent="0.25">
      <c r="A3183" s="20"/>
      <c r="B3183" s="410"/>
      <c r="C3183" s="410"/>
      <c r="D3183" s="410"/>
      <c r="E3183" s="405"/>
      <c r="F3183" s="338" t="s">
        <v>533</v>
      </c>
      <c r="G3183" s="339" t="s">
        <v>534</v>
      </c>
      <c r="H3183" s="339"/>
      <c r="I3183" s="339"/>
      <c r="J3183" s="339"/>
      <c r="K3183" s="340">
        <v>1.07</v>
      </c>
      <c r="L3183" s="10"/>
      <c r="M3183" s="419"/>
      <c r="N3183" s="420"/>
      <c r="O3183"/>
      <c r="P3183" s="412"/>
      <c r="Q3183" s="391"/>
      <c r="R3183" s="393"/>
    </row>
    <row r="3184" spans="1:18" ht="30" customHeight="1" x14ac:dyDescent="0.25">
      <c r="A3184" s="20"/>
      <c r="B3184" s="410"/>
      <c r="C3184" s="410"/>
      <c r="D3184" s="410"/>
      <c r="E3184" s="405"/>
      <c r="F3184" s="343"/>
      <c r="G3184" s="344" t="s">
        <v>535</v>
      </c>
      <c r="H3184" s="344"/>
      <c r="I3184" s="344"/>
      <c r="J3184" s="344"/>
      <c r="K3184" s="340">
        <v>1.02</v>
      </c>
      <c r="L3184" s="10"/>
      <c r="M3184" s="419"/>
      <c r="N3184" s="420"/>
      <c r="O3184"/>
      <c r="P3184" s="412"/>
      <c r="Q3184" s="391"/>
      <c r="R3184" s="393"/>
    </row>
    <row r="3185" spans="1:18" ht="30" customHeight="1" x14ac:dyDescent="0.25">
      <c r="A3185" s="10"/>
      <c r="B3185" s="10"/>
      <c r="C3185" s="13"/>
      <c r="D3185" s="13"/>
      <c r="E3185" s="13"/>
      <c r="F3185" s="13"/>
      <c r="G3185" s="13"/>
      <c r="H3185" s="13"/>
      <c r="I3185" s="13"/>
      <c r="J3185" s="10" t="s">
        <v>358</v>
      </c>
      <c r="K3185" s="14">
        <f>+K3182*K3183/K3184</f>
        <v>150.51123461966185</v>
      </c>
      <c r="L3185" s="10" t="s">
        <v>9</v>
      </c>
      <c r="M3185" s="419"/>
      <c r="N3185" s="420"/>
      <c r="O3185"/>
      <c r="P3185" s="412"/>
      <c r="Q3185" s="391"/>
      <c r="R3185" s="393"/>
    </row>
    <row r="3186" spans="1:18" ht="30" customHeight="1" x14ac:dyDescent="0.25">
      <c r="A3186" s="13"/>
      <c r="B3186" s="13"/>
      <c r="C3186" s="13"/>
      <c r="D3186" s="13"/>
      <c r="E3186" s="13"/>
      <c r="F3186" s="13"/>
      <c r="G3186" s="556"/>
      <c r="H3186" s="13"/>
      <c r="I3186" s="969" t="s">
        <v>652</v>
      </c>
      <c r="J3186" s="361">
        <f>VLOOKUP(B3168,'Mil Cost Premiums for RUCs'!$A$4:$R$265,18,FALSE)</f>
        <v>1.3319480854780448</v>
      </c>
      <c r="K3186" s="14">
        <f>+K3185*J3186</f>
        <v>200.47315079459543</v>
      </c>
      <c r="L3186" s="10" t="s">
        <v>9</v>
      </c>
      <c r="M3186" s="670"/>
      <c r="N3186" s="420"/>
      <c r="O3186"/>
      <c r="P3186" s="412"/>
      <c r="Q3186" s="391"/>
      <c r="R3186" s="393"/>
    </row>
    <row r="3187" spans="1:18" ht="75" customHeight="1" x14ac:dyDescent="0.25">
      <c r="A3187" s="580" t="s">
        <v>538</v>
      </c>
      <c r="B3187" s="532"/>
      <c r="C3187" s="532"/>
      <c r="D3187" s="532"/>
      <c r="E3187" s="532"/>
      <c r="F3187" s="532"/>
      <c r="G3187" s="532"/>
      <c r="H3187" s="532"/>
      <c r="I3187" s="532"/>
      <c r="J3187" s="532"/>
      <c r="K3187" s="532"/>
      <c r="L3187" s="533"/>
      <c r="M3187" s="670"/>
      <c r="N3187" s="420"/>
      <c r="O3187"/>
      <c r="P3187" s="412"/>
      <c r="Q3187" s="391"/>
      <c r="R3187" s="393"/>
    </row>
    <row r="3188" spans="1:18" ht="75" customHeight="1" x14ac:dyDescent="0.25">
      <c r="A3188" s="217" t="s">
        <v>539</v>
      </c>
      <c r="B3188" s="218"/>
      <c r="C3188" s="219"/>
      <c r="D3188" s="386" t="s">
        <v>2150</v>
      </c>
      <c r="E3188" s="849"/>
      <c r="F3188" s="849"/>
      <c r="G3188" s="849"/>
      <c r="H3188" s="849"/>
      <c r="I3188" s="849"/>
      <c r="J3188" s="849"/>
      <c r="K3188" s="849"/>
      <c r="L3188" s="850"/>
      <c r="M3188" s="419"/>
      <c r="N3188" s="671"/>
      <c r="O3188"/>
      <c r="P3188" s="412"/>
      <c r="Q3188" s="391"/>
      <c r="R3188" s="393"/>
    </row>
    <row r="3189" spans="1:18" ht="30" customHeight="1" x14ac:dyDescent="0.25">
      <c r="A3189" s="217" t="s">
        <v>541</v>
      </c>
      <c r="B3189" s="218"/>
      <c r="C3189" s="219"/>
      <c r="D3189" s="386" t="s">
        <v>2151</v>
      </c>
      <c r="E3189" s="849"/>
      <c r="F3189" s="849"/>
      <c r="G3189" s="849"/>
      <c r="H3189" s="849"/>
      <c r="I3189" s="849"/>
      <c r="J3189" s="849"/>
      <c r="K3189" s="849"/>
      <c r="L3189" s="850"/>
      <c r="M3189" s="419"/>
      <c r="N3189" s="671"/>
      <c r="O3189"/>
      <c r="P3189" s="412"/>
      <c r="Q3189" s="391"/>
      <c r="R3189" s="393"/>
    </row>
    <row r="3190" spans="1:18" ht="30" customHeight="1" x14ac:dyDescent="0.25">
      <c r="A3190" s="217" t="s">
        <v>543</v>
      </c>
      <c r="B3190" s="218"/>
      <c r="C3190" s="219"/>
      <c r="D3190" s="386" t="s">
        <v>2152</v>
      </c>
      <c r="E3190" s="849"/>
      <c r="F3190" s="849"/>
      <c r="G3190" s="849"/>
      <c r="H3190" s="849"/>
      <c r="I3190" s="849"/>
      <c r="J3190" s="849"/>
      <c r="K3190" s="849"/>
      <c r="L3190" s="850"/>
      <c r="M3190" s="419"/>
      <c r="N3190" s="420"/>
      <c r="O3190"/>
      <c r="P3190" s="412"/>
      <c r="Q3190" s="391"/>
      <c r="R3190" s="393"/>
    </row>
    <row r="3191" spans="1:18" ht="30" customHeight="1" x14ac:dyDescent="0.25">
      <c r="A3191" s="217" t="s">
        <v>546</v>
      </c>
      <c r="B3191" s="218"/>
      <c r="C3191" s="219"/>
      <c r="D3191" s="386" t="s">
        <v>2153</v>
      </c>
      <c r="E3191" s="849"/>
      <c r="F3191" s="849"/>
      <c r="G3191" s="849"/>
      <c r="H3191" s="849"/>
      <c r="I3191" s="849"/>
      <c r="J3191" s="849"/>
      <c r="K3191" s="849"/>
      <c r="L3191" s="850"/>
      <c r="M3191" s="419"/>
      <c r="N3191" s="420"/>
      <c r="O3191"/>
      <c r="P3191" s="412"/>
      <c r="Q3191" s="391"/>
      <c r="R3191" s="393"/>
    </row>
    <row r="3192" spans="1:18" ht="30" customHeight="1" x14ac:dyDescent="0.25">
      <c r="A3192" s="217" t="s">
        <v>548</v>
      </c>
      <c r="B3192" s="218"/>
      <c r="C3192" s="219"/>
      <c r="D3192" s="386" t="s">
        <v>2154</v>
      </c>
      <c r="E3192" s="849"/>
      <c r="F3192" s="849"/>
      <c r="G3192" s="849"/>
      <c r="H3192" s="849"/>
      <c r="I3192" s="849"/>
      <c r="J3192" s="849"/>
      <c r="K3192" s="849"/>
      <c r="L3192" s="850"/>
      <c r="M3192" s="419"/>
      <c r="N3192" s="420"/>
      <c r="O3192"/>
      <c r="P3192" s="412"/>
      <c r="Q3192" s="391"/>
      <c r="R3192" s="393"/>
    </row>
    <row r="3193" spans="1:18" ht="30" customHeight="1" x14ac:dyDescent="0.25">
      <c r="A3193" s="217" t="s">
        <v>550</v>
      </c>
      <c r="B3193" s="218"/>
      <c r="C3193" s="219"/>
      <c r="D3193" s="386" t="s">
        <v>2155</v>
      </c>
      <c r="E3193" s="849"/>
      <c r="F3193" s="849"/>
      <c r="G3193" s="849"/>
      <c r="H3193" s="849"/>
      <c r="I3193" s="849"/>
      <c r="J3193" s="849"/>
      <c r="K3193" s="849"/>
      <c r="L3193" s="850"/>
      <c r="M3193" s="419"/>
      <c r="N3193" s="420"/>
      <c r="O3193"/>
      <c r="P3193" s="412"/>
      <c r="Q3193" s="391"/>
      <c r="R3193" s="393"/>
    </row>
    <row r="3194" spans="1:18" ht="30" customHeight="1" x14ac:dyDescent="0.25">
      <c r="A3194" s="217" t="s">
        <v>552</v>
      </c>
      <c r="B3194" s="218"/>
      <c r="C3194" s="219"/>
      <c r="D3194" s="386" t="s">
        <v>2137</v>
      </c>
      <c r="E3194" s="849"/>
      <c r="F3194" s="849"/>
      <c r="G3194" s="849"/>
      <c r="H3194" s="849"/>
      <c r="I3194" s="849"/>
      <c r="J3194" s="849"/>
      <c r="K3194" s="849"/>
      <c r="L3194" s="850"/>
      <c r="M3194" s="419"/>
      <c r="N3194" s="420"/>
      <c r="O3194"/>
      <c r="P3194" s="412"/>
      <c r="Q3194" s="391"/>
      <c r="R3194" s="393"/>
    </row>
    <row r="3195" spans="1:18" ht="75" customHeight="1" x14ac:dyDescent="0.25">
      <c r="A3195" s="217" t="s">
        <v>553</v>
      </c>
      <c r="B3195" s="218"/>
      <c r="C3195" s="219"/>
      <c r="D3195" s="386" t="s">
        <v>660</v>
      </c>
      <c r="E3195" s="849"/>
      <c r="F3195" s="849"/>
      <c r="G3195" s="849"/>
      <c r="H3195" s="849"/>
      <c r="I3195" s="849"/>
      <c r="J3195" s="849"/>
      <c r="K3195" s="849"/>
      <c r="L3195" s="850"/>
      <c r="N3195" s="420"/>
      <c r="O3195"/>
      <c r="P3195" s="412"/>
      <c r="Q3195" s="391"/>
      <c r="R3195" s="393"/>
    </row>
    <row r="3196" spans="1:18" s="49" customFormat="1" ht="75" customHeight="1" thickBot="1" x14ac:dyDescent="0.3">
      <c r="A3196" s="217" t="s">
        <v>556</v>
      </c>
      <c r="B3196" s="218"/>
      <c r="C3196" s="219"/>
      <c r="D3196" s="386" t="s">
        <v>3404</v>
      </c>
      <c r="E3196" s="849"/>
      <c r="F3196" s="849"/>
      <c r="G3196" s="849"/>
      <c r="H3196" s="849"/>
      <c r="I3196" s="849"/>
      <c r="J3196" s="849"/>
      <c r="K3196" s="849"/>
      <c r="L3196" s="850"/>
      <c r="M3196" s="419"/>
      <c r="N3196" s="420"/>
      <c r="P3196" s="412"/>
      <c r="Q3196" s="391"/>
      <c r="R3196" s="393"/>
    </row>
    <row r="3197" spans="1:18" ht="30" customHeight="1" thickBot="1" x14ac:dyDescent="0.3">
      <c r="A3197" s="76"/>
      <c r="B3197" s="77"/>
      <c r="C3197" s="77"/>
      <c r="D3197" s="77"/>
      <c r="E3197" s="77"/>
      <c r="F3197" s="77"/>
      <c r="G3197" s="77"/>
      <c r="H3197" s="77"/>
      <c r="I3197" s="77"/>
      <c r="J3197" s="77"/>
      <c r="K3197" s="77"/>
      <c r="L3197" s="78"/>
      <c r="M3197" s="419"/>
      <c r="N3197" s="420"/>
      <c r="O3197"/>
      <c r="P3197" s="412"/>
      <c r="Q3197" s="391"/>
      <c r="R3197" s="393"/>
    </row>
    <row r="3198" spans="1:18" ht="30" customHeight="1" x14ac:dyDescent="0.25">
      <c r="A3198" s="207" t="s">
        <v>288</v>
      </c>
      <c r="B3198" s="208">
        <v>7340</v>
      </c>
      <c r="C3198" s="209" t="s">
        <v>2156</v>
      </c>
      <c r="D3198" s="210"/>
      <c r="E3198" s="177" t="s">
        <v>291</v>
      </c>
      <c r="F3198" s="178" t="s">
        <v>9</v>
      </c>
      <c r="G3198" s="123" t="s">
        <v>375</v>
      </c>
      <c r="H3198" s="302">
        <v>5165</v>
      </c>
      <c r="I3198" s="177" t="s">
        <v>292</v>
      </c>
      <c r="J3198" s="38" t="s">
        <v>883</v>
      </c>
      <c r="K3198" s="38"/>
      <c r="L3198" s="389"/>
      <c r="M3198" s="419"/>
      <c r="N3198" s="420"/>
      <c r="O3198"/>
      <c r="P3198" s="412"/>
      <c r="Q3198" s="391"/>
      <c r="R3198" s="393"/>
    </row>
    <row r="3199" spans="1:18" ht="30" customHeight="1" x14ac:dyDescent="0.25">
      <c r="A3199" s="185" t="s">
        <v>529</v>
      </c>
      <c r="B3199" s="394" t="s">
        <v>560</v>
      </c>
      <c r="C3199" s="395"/>
      <c r="D3199" s="396"/>
      <c r="E3199" s="397" t="s">
        <v>519</v>
      </c>
      <c r="F3199" s="397" t="s">
        <v>561</v>
      </c>
      <c r="G3199" s="398" t="s">
        <v>562</v>
      </c>
      <c r="H3199" s="399"/>
      <c r="I3199" s="181" t="s">
        <v>530</v>
      </c>
      <c r="J3199" s="181"/>
      <c r="K3199" s="288" t="s">
        <v>521</v>
      </c>
      <c r="L3199" s="289"/>
      <c r="M3199" s="419"/>
      <c r="N3199" s="420"/>
      <c r="O3199"/>
      <c r="P3199" s="412"/>
      <c r="Q3199" s="391"/>
      <c r="R3199" s="393"/>
    </row>
    <row r="3200" spans="1:18" ht="30" customHeight="1" x14ac:dyDescent="0.25">
      <c r="A3200" s="778" t="s">
        <v>2157</v>
      </c>
      <c r="B3200" s="503" t="s">
        <v>2158</v>
      </c>
      <c r="C3200" s="504"/>
      <c r="D3200" s="505"/>
      <c r="E3200" s="405">
        <v>80.34</v>
      </c>
      <c r="F3200" s="22" t="s">
        <v>9</v>
      </c>
      <c r="G3200" s="1112"/>
      <c r="H3200" s="758"/>
      <c r="I3200" s="20">
        <v>1.06</v>
      </c>
      <c r="J3200" s="20"/>
      <c r="K3200" s="405">
        <f>+E3200*I3200</f>
        <v>85.16040000000001</v>
      </c>
      <c r="L3200" s="20" t="s">
        <v>9</v>
      </c>
      <c r="M3200" s="419"/>
      <c r="N3200" s="420"/>
      <c r="O3200"/>
      <c r="P3200" s="412"/>
      <c r="Q3200" s="391"/>
      <c r="R3200" s="393"/>
    </row>
    <row r="3201" spans="1:18" ht="30" customHeight="1" x14ac:dyDescent="0.25">
      <c r="A3201" s="1325" t="s">
        <v>1915</v>
      </c>
      <c r="B3201" s="503" t="s">
        <v>1477</v>
      </c>
      <c r="C3201" s="504"/>
      <c r="D3201" s="505"/>
      <c r="E3201" s="405">
        <v>3.74</v>
      </c>
      <c r="F3201" s="22" t="s">
        <v>9</v>
      </c>
      <c r="G3201" s="1112"/>
      <c r="H3201" s="758"/>
      <c r="I3201" s="20">
        <v>1.06</v>
      </c>
      <c r="J3201" s="20"/>
      <c r="K3201" s="405">
        <f>+E3201*I3201</f>
        <v>3.9644000000000004</v>
      </c>
      <c r="L3201" s="20" t="s">
        <v>9</v>
      </c>
      <c r="M3201" s="419"/>
      <c r="N3201" s="420"/>
      <c r="O3201"/>
      <c r="P3201" s="412"/>
      <c r="Q3201" s="391"/>
      <c r="R3201" s="393"/>
    </row>
    <row r="3202" spans="1:18" ht="30" customHeight="1" x14ac:dyDescent="0.25">
      <c r="A3202" s="20"/>
      <c r="B3202" s="186"/>
      <c r="C3202" s="186"/>
      <c r="D3202" s="186"/>
      <c r="E3202" s="405"/>
      <c r="F3202" s="20"/>
      <c r="G3202" s="522"/>
      <c r="H3202" s="20"/>
      <c r="I3202" s="20"/>
      <c r="J3202" s="20" t="s">
        <v>578</v>
      </c>
      <c r="K3202" s="405">
        <f>SUM(K3200:K3201)</f>
        <v>89.124800000000008</v>
      </c>
      <c r="L3202" s="20" t="s">
        <v>9</v>
      </c>
      <c r="M3202" s="419"/>
      <c r="N3202" s="420"/>
      <c r="O3202"/>
      <c r="P3202" s="412"/>
      <c r="Q3202" s="391"/>
      <c r="R3202" s="393"/>
    </row>
    <row r="3203" spans="1:18" ht="30" customHeight="1" x14ac:dyDescent="0.25">
      <c r="A3203" s="20"/>
      <c r="B3203" s="410"/>
      <c r="C3203" s="410"/>
      <c r="D3203" s="410"/>
      <c r="E3203" s="405"/>
      <c r="F3203" s="338" t="s">
        <v>533</v>
      </c>
      <c r="G3203" s="339" t="s">
        <v>534</v>
      </c>
      <c r="H3203" s="339"/>
      <c r="I3203" s="339"/>
      <c r="J3203" s="339"/>
      <c r="K3203" s="340">
        <v>1.07</v>
      </c>
      <c r="L3203" s="10"/>
      <c r="M3203" s="425"/>
      <c r="N3203" s="420"/>
      <c r="O3203"/>
      <c r="P3203" s="412"/>
      <c r="Q3203" s="391"/>
      <c r="R3203" s="393"/>
    </row>
    <row r="3204" spans="1:18" ht="30" customHeight="1" x14ac:dyDescent="0.25">
      <c r="A3204" s="20"/>
      <c r="B3204" s="410"/>
      <c r="C3204" s="410"/>
      <c r="D3204" s="410"/>
      <c r="E3204" s="405"/>
      <c r="F3204" s="343"/>
      <c r="G3204" s="344" t="s">
        <v>535</v>
      </c>
      <c r="H3204" s="344"/>
      <c r="I3204" s="344"/>
      <c r="J3204" s="344"/>
      <c r="K3204" s="340">
        <v>1.02</v>
      </c>
      <c r="L3204" s="10"/>
      <c r="M3204" s="419"/>
      <c r="N3204" s="420"/>
      <c r="O3204"/>
      <c r="P3204" s="412"/>
      <c r="Q3204" s="391"/>
      <c r="R3204" s="393"/>
    </row>
    <row r="3205" spans="1:18" ht="30" customHeight="1" x14ac:dyDescent="0.25">
      <c r="A3205" s="20"/>
      <c r="B3205" s="20"/>
      <c r="C3205" s="18"/>
      <c r="D3205" s="18"/>
      <c r="E3205" s="18"/>
      <c r="F3205" s="18"/>
      <c r="G3205" s="18"/>
      <c r="H3205" s="18"/>
      <c r="I3205" s="18"/>
      <c r="J3205" s="20" t="s">
        <v>358</v>
      </c>
      <c r="K3205" s="23">
        <f>+K3202*K3203/K3204</f>
        <v>93.49366274509805</v>
      </c>
      <c r="L3205" s="20" t="s">
        <v>9</v>
      </c>
      <c r="M3205" s="419"/>
      <c r="N3205" s="420"/>
      <c r="O3205"/>
      <c r="P3205" s="412"/>
      <c r="Q3205" s="391"/>
      <c r="R3205" s="393"/>
    </row>
    <row r="3206" spans="1:18" ht="30" customHeight="1" thickBot="1" x14ac:dyDescent="0.3">
      <c r="A3206" s="20"/>
      <c r="B3206" s="20"/>
      <c r="C3206" s="18"/>
      <c r="D3206" s="18"/>
      <c r="E3206" s="18"/>
      <c r="F3206" s="18"/>
      <c r="G3206" s="413" t="s">
        <v>537</v>
      </c>
      <c r="H3206" s="18"/>
      <c r="I3206" s="18"/>
      <c r="J3206" s="361">
        <f>VLOOKUP(B3198,'Mil Cost Premiums for RUCs'!$A$4:$R$265,18,FALSE)</f>
        <v>1.0291833149999998</v>
      </c>
      <c r="K3206" s="23">
        <f>+K3205*J3206</f>
        <v>96.222117755491993</v>
      </c>
      <c r="L3206" s="20" t="s">
        <v>9</v>
      </c>
      <c r="M3206" s="419"/>
      <c r="N3206" s="420"/>
      <c r="O3206"/>
      <c r="P3206" s="412"/>
      <c r="Q3206" s="391"/>
      <c r="R3206" s="393"/>
    </row>
    <row r="3207" spans="1:18" ht="30" customHeight="1" thickBot="1" x14ac:dyDescent="0.3">
      <c r="A3207" s="76"/>
      <c r="B3207" s="77"/>
      <c r="C3207" s="77"/>
      <c r="D3207" s="77"/>
      <c r="E3207" s="77"/>
      <c r="F3207" s="77"/>
      <c r="G3207" s="77"/>
      <c r="H3207" s="77"/>
      <c r="I3207" s="77"/>
      <c r="J3207" s="77"/>
      <c r="K3207" s="77"/>
      <c r="L3207" s="78"/>
      <c r="M3207" s="419"/>
      <c r="N3207" s="420"/>
      <c r="O3207"/>
      <c r="P3207" s="412"/>
      <c r="Q3207" s="391"/>
      <c r="R3207" s="393"/>
    </row>
    <row r="3208" spans="1:18" ht="30" customHeight="1" x14ac:dyDescent="0.25">
      <c r="A3208" s="207" t="s">
        <v>288</v>
      </c>
      <c r="B3208" s="208">
        <v>7341</v>
      </c>
      <c r="C3208" s="209" t="s">
        <v>2159</v>
      </c>
      <c r="D3208" s="210"/>
      <c r="E3208" s="177" t="s">
        <v>291</v>
      </c>
      <c r="F3208" s="178" t="s">
        <v>9</v>
      </c>
      <c r="G3208" s="123" t="s">
        <v>375</v>
      </c>
      <c r="H3208" s="1371">
        <v>396</v>
      </c>
      <c r="I3208" s="177" t="s">
        <v>292</v>
      </c>
      <c r="J3208" s="38" t="s">
        <v>883</v>
      </c>
      <c r="K3208" s="38"/>
      <c r="L3208" s="389"/>
      <c r="M3208" s="419"/>
      <c r="N3208" s="420"/>
      <c r="O3208"/>
      <c r="P3208" s="412"/>
      <c r="Q3208" s="391"/>
      <c r="R3208" s="393"/>
    </row>
    <row r="3209" spans="1:18" ht="30" customHeight="1" x14ac:dyDescent="0.25">
      <c r="A3209" s="185" t="s">
        <v>529</v>
      </c>
      <c r="B3209" s="394" t="s">
        <v>560</v>
      </c>
      <c r="C3209" s="395"/>
      <c r="D3209" s="396"/>
      <c r="E3209" s="397" t="s">
        <v>519</v>
      </c>
      <c r="F3209" s="397" t="s">
        <v>561</v>
      </c>
      <c r="G3209" s="398" t="s">
        <v>562</v>
      </c>
      <c r="H3209" s="399"/>
      <c r="I3209" s="181" t="s">
        <v>530</v>
      </c>
      <c r="J3209" s="181"/>
      <c r="K3209" s="288" t="s">
        <v>521</v>
      </c>
      <c r="L3209" s="289"/>
      <c r="M3209" s="419"/>
      <c r="N3209" s="420"/>
      <c r="O3209" s="43"/>
      <c r="P3209" s="672"/>
      <c r="Q3209" s="671"/>
      <c r="R3209" s="673"/>
    </row>
    <row r="3210" spans="1:18" ht="30" customHeight="1" x14ac:dyDescent="0.25">
      <c r="A3210" s="778" t="s">
        <v>2160</v>
      </c>
      <c r="B3210" s="503" t="s">
        <v>2161</v>
      </c>
      <c r="C3210" s="504"/>
      <c r="D3210" s="505"/>
      <c r="E3210" s="405">
        <v>111.35</v>
      </c>
      <c r="F3210" s="22" t="s">
        <v>9</v>
      </c>
      <c r="G3210" s="1112"/>
      <c r="H3210" s="758"/>
      <c r="I3210" s="20">
        <v>1.05</v>
      </c>
      <c r="J3210" s="20"/>
      <c r="K3210" s="405">
        <f>+E3210*I3210</f>
        <v>116.9175</v>
      </c>
      <c r="L3210" s="20" t="s">
        <v>9</v>
      </c>
      <c r="M3210" s="419"/>
      <c r="N3210" s="420"/>
      <c r="O3210" s="43"/>
      <c r="P3210" s="672"/>
      <c r="Q3210" s="671"/>
      <c r="R3210" s="673"/>
    </row>
    <row r="3211" spans="1:18" ht="30" customHeight="1" x14ac:dyDescent="0.25">
      <c r="A3211" s="1325" t="s">
        <v>644</v>
      </c>
      <c r="B3211" s="503" t="s">
        <v>2118</v>
      </c>
      <c r="C3211" s="504"/>
      <c r="D3211" s="505"/>
      <c r="E3211" s="405">
        <v>3.8</v>
      </c>
      <c r="F3211" s="22" t="s">
        <v>9</v>
      </c>
      <c r="G3211" s="1112"/>
      <c r="H3211" s="758"/>
      <c r="I3211" s="20">
        <v>1.05</v>
      </c>
      <c r="J3211" s="20"/>
      <c r="K3211" s="405">
        <f>+E3211*I3211</f>
        <v>3.9899999999999998</v>
      </c>
      <c r="L3211" s="20" t="s">
        <v>9</v>
      </c>
      <c r="M3211" s="419"/>
      <c r="N3211" s="420"/>
      <c r="O3211"/>
      <c r="P3211" s="412"/>
      <c r="Q3211" s="391"/>
      <c r="R3211" s="393"/>
    </row>
    <row r="3212" spans="1:18" ht="30" customHeight="1" x14ac:dyDescent="0.25">
      <c r="A3212" s="20"/>
      <c r="B3212" s="186"/>
      <c r="C3212" s="186"/>
      <c r="D3212" s="186"/>
      <c r="E3212" s="405"/>
      <c r="F3212" s="20"/>
      <c r="G3212" s="522"/>
      <c r="H3212" s="20"/>
      <c r="I3212" s="20"/>
      <c r="J3212" s="20" t="s">
        <v>578</v>
      </c>
      <c r="K3212" s="405">
        <f>SUM(K3210:K3211)</f>
        <v>120.9075</v>
      </c>
      <c r="L3212" s="20" t="s">
        <v>9</v>
      </c>
      <c r="M3212" s="419"/>
      <c r="N3212" s="420"/>
      <c r="O3212"/>
      <c r="P3212" s="412"/>
      <c r="Q3212" s="391"/>
      <c r="R3212" s="393"/>
    </row>
    <row r="3213" spans="1:18" ht="30" customHeight="1" x14ac:dyDescent="0.25">
      <c r="A3213" s="20"/>
      <c r="B3213" s="410"/>
      <c r="C3213" s="410"/>
      <c r="D3213" s="410"/>
      <c r="E3213" s="405"/>
      <c r="F3213" s="338" t="s">
        <v>533</v>
      </c>
      <c r="G3213" s="339" t="s">
        <v>534</v>
      </c>
      <c r="H3213" s="339"/>
      <c r="I3213" s="339"/>
      <c r="J3213" s="339"/>
      <c r="K3213" s="340">
        <v>1.07</v>
      </c>
      <c r="L3213" s="10"/>
      <c r="M3213" s="419"/>
      <c r="N3213" s="420"/>
      <c r="O3213"/>
      <c r="P3213" s="412"/>
      <c r="Q3213" s="391"/>
      <c r="R3213" s="393"/>
    </row>
    <row r="3214" spans="1:18" ht="30" customHeight="1" x14ac:dyDescent="0.25">
      <c r="A3214" s="20"/>
      <c r="B3214" s="410"/>
      <c r="C3214" s="410"/>
      <c r="D3214" s="410"/>
      <c r="E3214" s="405"/>
      <c r="F3214" s="343"/>
      <c r="G3214" s="344" t="s">
        <v>535</v>
      </c>
      <c r="H3214" s="344"/>
      <c r="I3214" s="344"/>
      <c r="J3214" s="344"/>
      <c r="K3214" s="340">
        <v>1.02</v>
      </c>
      <c r="L3214" s="10"/>
      <c r="M3214" s="419"/>
      <c r="N3214" s="420"/>
      <c r="O3214"/>
      <c r="P3214" s="412"/>
      <c r="Q3214" s="391"/>
      <c r="R3214" s="393"/>
    </row>
    <row r="3215" spans="1:18" ht="30" customHeight="1" x14ac:dyDescent="0.25">
      <c r="A3215" s="20"/>
      <c r="B3215" s="20"/>
      <c r="C3215" s="18"/>
      <c r="D3215" s="18"/>
      <c r="E3215" s="18"/>
      <c r="F3215" s="18"/>
      <c r="G3215" s="18"/>
      <c r="H3215" s="18"/>
      <c r="I3215" s="18"/>
      <c r="J3215" s="20" t="s">
        <v>358</v>
      </c>
      <c r="K3215" s="23">
        <f>+K3212*K3213/K3214</f>
        <v>126.83433823529411</v>
      </c>
      <c r="L3215" s="20" t="s">
        <v>9</v>
      </c>
      <c r="M3215" s="419"/>
      <c r="N3215" s="420"/>
      <c r="O3215"/>
      <c r="P3215" s="412"/>
      <c r="Q3215" s="391"/>
      <c r="R3215" s="393"/>
    </row>
    <row r="3216" spans="1:18" ht="30" customHeight="1" thickBot="1" x14ac:dyDescent="0.3">
      <c r="A3216" s="20"/>
      <c r="B3216" s="20"/>
      <c r="C3216" s="18"/>
      <c r="D3216" s="18"/>
      <c r="E3216" s="18"/>
      <c r="F3216" s="18"/>
      <c r="G3216" s="413" t="s">
        <v>537</v>
      </c>
      <c r="H3216" s="18"/>
      <c r="I3216" s="18"/>
      <c r="J3216" s="361">
        <f>VLOOKUP(B3208,'Mil Cost Premiums for RUCs'!$A$4:$R$265,18,FALSE)</f>
        <v>1.1345642417967394</v>
      </c>
      <c r="K3216" s="23">
        <f>+K3215*J3216</f>
        <v>143.90170479371767</v>
      </c>
      <c r="L3216" s="20" t="s">
        <v>9</v>
      </c>
      <c r="M3216" s="670"/>
      <c r="N3216" s="420"/>
      <c r="O3216"/>
      <c r="P3216" s="412"/>
      <c r="Q3216" s="391"/>
      <c r="R3216" s="393"/>
    </row>
    <row r="3217" spans="1:18" ht="30" customHeight="1" thickBot="1" x14ac:dyDescent="0.3">
      <c r="A3217" s="76"/>
      <c r="B3217" s="77"/>
      <c r="C3217" s="77"/>
      <c r="D3217" s="77"/>
      <c r="E3217" s="77"/>
      <c r="F3217" s="77"/>
      <c r="G3217" s="77"/>
      <c r="H3217" s="77"/>
      <c r="I3217" s="77"/>
      <c r="J3217" s="77"/>
      <c r="K3217" s="77"/>
      <c r="L3217" s="78"/>
      <c r="M3217" s="670"/>
      <c r="N3217" s="420"/>
      <c r="O3217"/>
      <c r="P3217" s="412"/>
      <c r="Q3217" s="391"/>
      <c r="R3217" s="393"/>
    </row>
    <row r="3218" spans="1:18" ht="30" customHeight="1" x14ac:dyDescent="0.25">
      <c r="A3218" s="207" t="s">
        <v>288</v>
      </c>
      <c r="B3218" s="208">
        <v>7342</v>
      </c>
      <c r="C3218" s="209" t="s">
        <v>2162</v>
      </c>
      <c r="D3218" s="210"/>
      <c r="E3218" s="177" t="s">
        <v>291</v>
      </c>
      <c r="F3218" s="178" t="s">
        <v>9</v>
      </c>
      <c r="G3218" s="123" t="s">
        <v>375</v>
      </c>
      <c r="H3218" s="1372">
        <v>4278</v>
      </c>
      <c r="I3218" s="177" t="s">
        <v>292</v>
      </c>
      <c r="J3218" s="38" t="s">
        <v>883</v>
      </c>
      <c r="K3218" s="38"/>
      <c r="L3218" s="389"/>
      <c r="M3218" s="419"/>
      <c r="N3218" s="671"/>
      <c r="O3218"/>
      <c r="P3218" s="412"/>
      <c r="Q3218" s="391"/>
      <c r="R3218" s="393"/>
    </row>
    <row r="3219" spans="1:18" ht="30" customHeight="1" x14ac:dyDescent="0.25">
      <c r="A3219" s="185" t="s">
        <v>529</v>
      </c>
      <c r="B3219" s="394" t="s">
        <v>560</v>
      </c>
      <c r="C3219" s="395"/>
      <c r="D3219" s="396"/>
      <c r="E3219" s="397" t="s">
        <v>519</v>
      </c>
      <c r="F3219" s="397" t="s">
        <v>561</v>
      </c>
      <c r="G3219" s="398" t="s">
        <v>562</v>
      </c>
      <c r="H3219" s="399"/>
      <c r="I3219" s="181" t="s">
        <v>530</v>
      </c>
      <c r="J3219" s="181"/>
      <c r="K3219" s="288" t="s">
        <v>521</v>
      </c>
      <c r="L3219" s="289"/>
      <c r="M3219" s="419"/>
      <c r="N3219" s="671"/>
      <c r="O3219"/>
      <c r="P3219" s="412"/>
      <c r="Q3219" s="391"/>
      <c r="R3219" s="393"/>
    </row>
    <row r="3220" spans="1:18" ht="30" customHeight="1" x14ac:dyDescent="0.25">
      <c r="A3220" s="778" t="s">
        <v>2111</v>
      </c>
      <c r="B3220" s="503" t="s">
        <v>2163</v>
      </c>
      <c r="C3220" s="504"/>
      <c r="D3220" s="505"/>
      <c r="E3220" s="405">
        <v>73</v>
      </c>
      <c r="F3220" s="22" t="s">
        <v>9</v>
      </c>
      <c r="G3220" s="1112"/>
      <c r="H3220" s="758"/>
      <c r="I3220" s="20">
        <v>1.05</v>
      </c>
      <c r="J3220" s="20"/>
      <c r="K3220" s="405">
        <f>+E3220*I3220</f>
        <v>76.650000000000006</v>
      </c>
      <c r="L3220" s="20" t="s">
        <v>9</v>
      </c>
      <c r="M3220" s="419"/>
      <c r="N3220" s="420"/>
      <c r="O3220"/>
      <c r="P3220" s="412"/>
      <c r="Q3220" s="391"/>
      <c r="R3220" s="393"/>
    </row>
    <row r="3221" spans="1:18" ht="30" customHeight="1" x14ac:dyDescent="0.25">
      <c r="A3221" s="1325" t="s">
        <v>1421</v>
      </c>
      <c r="B3221" s="523" t="s">
        <v>2164</v>
      </c>
      <c r="C3221" s="989"/>
      <c r="D3221" s="990"/>
      <c r="E3221" s="760">
        <v>22.68</v>
      </c>
      <c r="F3221" s="22" t="s">
        <v>9</v>
      </c>
      <c r="G3221" s="1112"/>
      <c r="H3221" s="758"/>
      <c r="I3221" s="20">
        <v>1.05</v>
      </c>
      <c r="J3221" s="20"/>
      <c r="K3221" s="405">
        <f>+E3221*I3221</f>
        <v>23.814</v>
      </c>
      <c r="L3221" s="20" t="s">
        <v>9</v>
      </c>
      <c r="M3221" s="419"/>
      <c r="N3221" s="420"/>
      <c r="O3221"/>
      <c r="P3221" s="412"/>
      <c r="Q3221" s="391"/>
      <c r="R3221" s="393"/>
    </row>
    <row r="3222" spans="1:18" ht="30" customHeight="1" x14ac:dyDescent="0.25">
      <c r="A3222" s="1325" t="s">
        <v>1421</v>
      </c>
      <c r="B3222" s="402" t="s">
        <v>2165</v>
      </c>
      <c r="C3222" s="403"/>
      <c r="D3222" s="404"/>
      <c r="E3222" s="760">
        <f>+(12.15+16.58)/2</f>
        <v>14.364999999999998</v>
      </c>
      <c r="F3222" s="22" t="s">
        <v>9</v>
      </c>
      <c r="G3222" s="1112"/>
      <c r="H3222" s="758"/>
      <c r="I3222" s="20">
        <v>1.05</v>
      </c>
      <c r="J3222" s="20"/>
      <c r="K3222" s="405">
        <f>+E3222*I3222</f>
        <v>15.08325</v>
      </c>
      <c r="L3222" s="20" t="s">
        <v>9</v>
      </c>
      <c r="M3222" s="419"/>
      <c r="N3222" s="420"/>
      <c r="O3222"/>
      <c r="P3222" s="412"/>
      <c r="Q3222" s="391"/>
      <c r="R3222" s="393"/>
    </row>
    <row r="3223" spans="1:18" ht="30" customHeight="1" x14ac:dyDescent="0.25">
      <c r="A3223" s="1325" t="s">
        <v>644</v>
      </c>
      <c r="B3223" s="503" t="s">
        <v>2166</v>
      </c>
      <c r="C3223" s="504"/>
      <c r="D3223" s="505"/>
      <c r="E3223" s="405">
        <v>3.4</v>
      </c>
      <c r="F3223" s="22" t="s">
        <v>9</v>
      </c>
      <c r="G3223" s="1112"/>
      <c r="H3223" s="758"/>
      <c r="I3223" s="20">
        <v>1.05</v>
      </c>
      <c r="J3223" s="20"/>
      <c r="K3223" s="405">
        <f>+E3223*I3223</f>
        <v>3.57</v>
      </c>
      <c r="L3223" s="20" t="s">
        <v>9</v>
      </c>
      <c r="M3223" s="419"/>
      <c r="N3223" s="420"/>
      <c r="O3223"/>
      <c r="P3223" s="412"/>
      <c r="Q3223" s="391"/>
      <c r="R3223" s="393"/>
    </row>
    <row r="3224" spans="1:18" ht="30" customHeight="1" x14ac:dyDescent="0.25">
      <c r="A3224" s="20"/>
      <c r="B3224" s="186"/>
      <c r="C3224" s="186"/>
      <c r="D3224" s="186"/>
      <c r="E3224" s="405"/>
      <c r="F3224" s="20"/>
      <c r="G3224" s="522"/>
      <c r="H3224" s="20"/>
      <c r="I3224" s="20"/>
      <c r="J3224" s="20" t="s">
        <v>578</v>
      </c>
      <c r="K3224" s="405">
        <f>SUM(K3220:K3223)</f>
        <v>119.11724999999998</v>
      </c>
      <c r="L3224" s="20" t="s">
        <v>9</v>
      </c>
      <c r="M3224" s="419"/>
      <c r="N3224" s="420"/>
      <c r="O3224"/>
      <c r="P3224" s="412"/>
      <c r="Q3224" s="391"/>
      <c r="R3224" s="393"/>
    </row>
    <row r="3225" spans="1:18" s="49" customFormat="1" ht="30" customHeight="1" x14ac:dyDescent="0.25">
      <c r="A3225" s="20"/>
      <c r="B3225" s="410"/>
      <c r="C3225" s="410"/>
      <c r="D3225" s="410"/>
      <c r="E3225" s="405"/>
      <c r="F3225" s="338" t="s">
        <v>533</v>
      </c>
      <c r="G3225" s="339" t="s">
        <v>534</v>
      </c>
      <c r="H3225" s="339"/>
      <c r="I3225" s="339"/>
      <c r="J3225" s="339"/>
      <c r="K3225" s="340">
        <v>1.07</v>
      </c>
      <c r="L3225" s="10"/>
      <c r="M3225" s="419"/>
      <c r="N3225" s="420"/>
      <c r="P3225" s="412"/>
      <c r="Q3225" s="391"/>
      <c r="R3225" s="393"/>
    </row>
    <row r="3226" spans="1:18" ht="30" customHeight="1" x14ac:dyDescent="0.25">
      <c r="A3226" s="20"/>
      <c r="B3226" s="410"/>
      <c r="C3226" s="410"/>
      <c r="D3226" s="410"/>
      <c r="E3226" s="405"/>
      <c r="F3226" s="343"/>
      <c r="G3226" s="344" t="s">
        <v>535</v>
      </c>
      <c r="H3226" s="344"/>
      <c r="I3226" s="344"/>
      <c r="J3226" s="344"/>
      <c r="K3226" s="340">
        <v>1.02</v>
      </c>
      <c r="L3226" s="10"/>
      <c r="M3226" s="419"/>
      <c r="N3226" s="420"/>
      <c r="O3226"/>
      <c r="P3226" s="412"/>
      <c r="Q3226" s="391"/>
      <c r="R3226" s="393"/>
    </row>
    <row r="3227" spans="1:18" ht="30" customHeight="1" x14ac:dyDescent="0.25">
      <c r="A3227" s="20"/>
      <c r="B3227" s="20"/>
      <c r="C3227" s="18"/>
      <c r="D3227" s="18"/>
      <c r="E3227" s="18"/>
      <c r="F3227" s="18"/>
      <c r="G3227" s="18"/>
      <c r="H3227" s="18"/>
      <c r="I3227" s="18"/>
      <c r="J3227" s="20" t="s">
        <v>358</v>
      </c>
      <c r="K3227" s="23">
        <f>+K3224*K3225/K3226</f>
        <v>124.95633088235293</v>
      </c>
      <c r="L3227" s="20" t="s">
        <v>9</v>
      </c>
      <c r="M3227" s="419"/>
      <c r="N3227" s="420"/>
      <c r="O3227"/>
      <c r="P3227" s="412"/>
      <c r="Q3227" s="391"/>
      <c r="R3227" s="393"/>
    </row>
    <row r="3228" spans="1:18" ht="30" customHeight="1" thickBot="1" x14ac:dyDescent="0.3">
      <c r="A3228" s="20"/>
      <c r="B3228" s="20"/>
      <c r="C3228" s="18"/>
      <c r="D3228" s="18"/>
      <c r="E3228" s="18"/>
      <c r="F3228" s="18"/>
      <c r="G3228" s="413" t="s">
        <v>537</v>
      </c>
      <c r="H3228" s="18"/>
      <c r="I3228" s="18"/>
      <c r="J3228" s="361">
        <f>VLOOKUP(B3218,'Mil Cost Premiums for RUCs'!$A$4:$R$265,18,FALSE)</f>
        <v>1.1113659853696505</v>
      </c>
      <c r="K3228" s="23">
        <f>+K3227*J3228</f>
        <v>138.87221579924224</v>
      </c>
      <c r="L3228" s="20" t="s">
        <v>9</v>
      </c>
      <c r="M3228" s="419"/>
      <c r="N3228" s="420"/>
      <c r="O3228"/>
      <c r="P3228" s="412"/>
      <c r="Q3228" s="391"/>
      <c r="R3228" s="393"/>
    </row>
    <row r="3229" spans="1:18" ht="30" customHeight="1" thickBot="1" x14ac:dyDescent="0.3">
      <c r="A3229" s="76"/>
      <c r="B3229" s="77"/>
      <c r="C3229" s="77"/>
      <c r="D3229" s="77"/>
      <c r="E3229" s="77"/>
      <c r="F3229" s="77"/>
      <c r="G3229" s="77"/>
      <c r="H3229" s="77"/>
      <c r="I3229" s="77"/>
      <c r="J3229" s="77"/>
      <c r="K3229" s="77"/>
      <c r="L3229" s="78"/>
      <c r="M3229" s="419"/>
      <c r="N3229" s="420"/>
      <c r="O3229" s="43"/>
      <c r="P3229" s="672"/>
      <c r="Q3229" s="671"/>
      <c r="R3229" s="673"/>
    </row>
    <row r="3230" spans="1:18" ht="30" customHeight="1" x14ac:dyDescent="0.25">
      <c r="A3230" s="207" t="s">
        <v>288</v>
      </c>
      <c r="B3230" s="208">
        <v>7344</v>
      </c>
      <c r="C3230" s="209" t="s">
        <v>2167</v>
      </c>
      <c r="D3230" s="210"/>
      <c r="E3230" s="177" t="s">
        <v>291</v>
      </c>
      <c r="F3230" s="178" t="s">
        <v>9</v>
      </c>
      <c r="G3230" s="123" t="s">
        <v>375</v>
      </c>
      <c r="H3230" s="179">
        <v>4719</v>
      </c>
      <c r="I3230" s="177" t="s">
        <v>292</v>
      </c>
      <c r="J3230" s="38" t="s">
        <v>883</v>
      </c>
      <c r="K3230" s="38"/>
      <c r="L3230" s="389"/>
      <c r="M3230" s="419"/>
      <c r="N3230" s="420"/>
      <c r="O3230" s="43"/>
      <c r="P3230" s="672"/>
      <c r="Q3230" s="671"/>
      <c r="R3230" s="673"/>
    </row>
    <row r="3231" spans="1:18" ht="30" customHeight="1" x14ac:dyDescent="0.25">
      <c r="A3231" s="185" t="s">
        <v>529</v>
      </c>
      <c r="B3231" s="394" t="s">
        <v>560</v>
      </c>
      <c r="C3231" s="395"/>
      <c r="D3231" s="396"/>
      <c r="E3231" s="397" t="s">
        <v>519</v>
      </c>
      <c r="F3231" s="397" t="s">
        <v>561</v>
      </c>
      <c r="G3231" s="398" t="s">
        <v>562</v>
      </c>
      <c r="H3231" s="399"/>
      <c r="I3231" s="181" t="s">
        <v>530</v>
      </c>
      <c r="J3231" s="181"/>
      <c r="K3231" s="288" t="s">
        <v>521</v>
      </c>
      <c r="L3231" s="289"/>
      <c r="M3231" s="419"/>
      <c r="N3231" s="420"/>
      <c r="O3231"/>
      <c r="P3231" s="412"/>
      <c r="Q3231" s="391"/>
      <c r="R3231" s="393"/>
    </row>
    <row r="3232" spans="1:18" ht="30" customHeight="1" x14ac:dyDescent="0.25">
      <c r="A3232" s="778" t="s">
        <v>2168</v>
      </c>
      <c r="B3232" s="503" t="s">
        <v>2169</v>
      </c>
      <c r="C3232" s="504"/>
      <c r="D3232" s="505"/>
      <c r="E3232" s="405">
        <v>133</v>
      </c>
      <c r="F3232" s="22" t="s">
        <v>9</v>
      </c>
      <c r="G3232" s="1112"/>
      <c r="H3232" s="758"/>
      <c r="I3232" s="20">
        <v>1.05</v>
      </c>
      <c r="J3232" s="20"/>
      <c r="K3232" s="405">
        <f>+E3232*I3232</f>
        <v>139.65</v>
      </c>
      <c r="L3232" s="20" t="s">
        <v>9</v>
      </c>
      <c r="M3232" s="425"/>
      <c r="N3232" s="420"/>
      <c r="O3232"/>
      <c r="P3232" s="412"/>
      <c r="Q3232" s="391"/>
      <c r="R3232" s="393"/>
    </row>
    <row r="3233" spans="1:18" ht="30" customHeight="1" x14ac:dyDescent="0.25">
      <c r="A3233" s="1325" t="s">
        <v>644</v>
      </c>
      <c r="B3233" s="503" t="s">
        <v>1477</v>
      </c>
      <c r="C3233" s="504"/>
      <c r="D3233" s="505"/>
      <c r="E3233" s="405">
        <v>3.4</v>
      </c>
      <c r="F3233" s="22" t="s">
        <v>9</v>
      </c>
      <c r="G3233" s="1112"/>
      <c r="H3233" s="758"/>
      <c r="I3233" s="20">
        <v>1.05</v>
      </c>
      <c r="J3233" s="20"/>
      <c r="K3233" s="405">
        <f>+E3233*I3233</f>
        <v>3.57</v>
      </c>
      <c r="L3233" s="20" t="s">
        <v>9</v>
      </c>
      <c r="M3233" s="419"/>
      <c r="N3233" s="420"/>
      <c r="O3233"/>
      <c r="P3233" s="412"/>
      <c r="Q3233" s="391"/>
      <c r="R3233" s="393"/>
    </row>
    <row r="3234" spans="1:18" ht="30" customHeight="1" x14ac:dyDescent="0.25">
      <c r="A3234" s="20"/>
      <c r="B3234" s="186"/>
      <c r="C3234" s="186"/>
      <c r="D3234" s="186"/>
      <c r="E3234" s="405"/>
      <c r="F3234" s="20"/>
      <c r="G3234" s="522"/>
      <c r="H3234" s="20"/>
      <c r="I3234" s="20"/>
      <c r="J3234" s="20" t="s">
        <v>578</v>
      </c>
      <c r="K3234" s="405">
        <f>SUM(K3232:K3233)</f>
        <v>143.22</v>
      </c>
      <c r="L3234" s="20" t="s">
        <v>9</v>
      </c>
      <c r="M3234" s="419"/>
      <c r="N3234" s="420"/>
      <c r="O3234"/>
      <c r="P3234" s="412"/>
      <c r="Q3234" s="391"/>
      <c r="R3234" s="393"/>
    </row>
    <row r="3235" spans="1:18" s="49" customFormat="1" ht="30" customHeight="1" x14ac:dyDescent="0.25">
      <c r="A3235" s="20"/>
      <c r="B3235" s="410"/>
      <c r="C3235" s="410"/>
      <c r="D3235" s="410"/>
      <c r="E3235" s="405"/>
      <c r="F3235" s="338" t="s">
        <v>533</v>
      </c>
      <c r="G3235" s="339" t="s">
        <v>534</v>
      </c>
      <c r="H3235" s="339"/>
      <c r="I3235" s="339"/>
      <c r="J3235" s="339"/>
      <c r="K3235" s="340">
        <v>1.07</v>
      </c>
      <c r="L3235" s="10"/>
      <c r="M3235" s="419"/>
      <c r="N3235" s="420"/>
      <c r="P3235" s="412"/>
      <c r="Q3235" s="391"/>
      <c r="R3235" s="393"/>
    </row>
    <row r="3236" spans="1:18" ht="30" customHeight="1" x14ac:dyDescent="0.25">
      <c r="A3236" s="20"/>
      <c r="B3236" s="410"/>
      <c r="C3236" s="410"/>
      <c r="D3236" s="410"/>
      <c r="E3236" s="405"/>
      <c r="F3236" s="343"/>
      <c r="G3236" s="344" t="s">
        <v>535</v>
      </c>
      <c r="H3236" s="344"/>
      <c r="I3236" s="344"/>
      <c r="J3236" s="344"/>
      <c r="K3236" s="340">
        <v>1.02</v>
      </c>
      <c r="L3236" s="10"/>
      <c r="M3236" s="670"/>
      <c r="N3236" s="420"/>
      <c r="O3236"/>
      <c r="P3236" s="412"/>
      <c r="Q3236" s="391"/>
      <c r="R3236" s="393"/>
    </row>
    <row r="3237" spans="1:18" ht="30" customHeight="1" x14ac:dyDescent="0.25">
      <c r="A3237" s="20"/>
      <c r="B3237" s="20"/>
      <c r="C3237" s="18"/>
      <c r="D3237" s="18"/>
      <c r="E3237" s="18"/>
      <c r="F3237" s="18"/>
      <c r="G3237" s="18"/>
      <c r="H3237" s="18"/>
      <c r="I3237" s="18"/>
      <c r="J3237" s="20" t="s">
        <v>358</v>
      </c>
      <c r="K3237" s="23">
        <f>+K3234*K3235/K3236</f>
        <v>150.24058823529413</v>
      </c>
      <c r="L3237" s="20" t="s">
        <v>9</v>
      </c>
      <c r="M3237" s="670"/>
      <c r="N3237" s="420"/>
      <c r="O3237"/>
      <c r="P3237" s="412"/>
      <c r="Q3237" s="391"/>
      <c r="R3237" s="393"/>
    </row>
    <row r="3238" spans="1:18" ht="30" customHeight="1" thickBot="1" x14ac:dyDescent="0.3">
      <c r="A3238" s="20"/>
      <c r="B3238" s="20"/>
      <c r="C3238" s="18"/>
      <c r="D3238" s="18"/>
      <c r="E3238" s="18"/>
      <c r="F3238" s="18"/>
      <c r="G3238" s="413" t="s">
        <v>537</v>
      </c>
      <c r="H3238" s="18"/>
      <c r="I3238" s="18"/>
      <c r="J3238" s="361">
        <f>VLOOKUP(B3230,'Mil Cost Premiums for RUCs'!$A$4:$R$265,18,FALSE)</f>
        <v>1.3319480854780448</v>
      </c>
      <c r="K3238" s="23">
        <f>+K3237*J3238</f>
        <v>200.11266386109526</v>
      </c>
      <c r="L3238" s="20" t="s">
        <v>9</v>
      </c>
      <c r="M3238" s="419"/>
      <c r="N3238" s="671"/>
      <c r="O3238"/>
      <c r="P3238" s="412"/>
      <c r="Q3238" s="391"/>
      <c r="R3238" s="393"/>
    </row>
    <row r="3239" spans="1:18" ht="30" customHeight="1" thickBot="1" x14ac:dyDescent="0.3">
      <c r="A3239" s="76"/>
      <c r="B3239" s="77"/>
      <c r="C3239" s="77"/>
      <c r="D3239" s="77"/>
      <c r="E3239" s="77"/>
      <c r="F3239" s="77"/>
      <c r="G3239" s="77"/>
      <c r="H3239" s="77"/>
      <c r="I3239" s="77"/>
      <c r="J3239" s="77"/>
      <c r="K3239" s="77"/>
      <c r="L3239" s="78"/>
      <c r="M3239" s="419"/>
      <c r="N3239" s="671"/>
      <c r="O3239" s="43"/>
      <c r="P3239" s="672"/>
      <c r="Q3239" s="671"/>
      <c r="R3239" s="673"/>
    </row>
    <row r="3240" spans="1:18" ht="30" customHeight="1" x14ac:dyDescent="0.25">
      <c r="A3240" s="207" t="s">
        <v>288</v>
      </c>
      <c r="B3240" s="208">
        <v>7345</v>
      </c>
      <c r="C3240" s="209" t="s">
        <v>2170</v>
      </c>
      <c r="D3240" s="210"/>
      <c r="E3240" s="177" t="s">
        <v>291</v>
      </c>
      <c r="F3240" s="178" t="s">
        <v>9</v>
      </c>
      <c r="G3240" s="123" t="s">
        <v>375</v>
      </c>
      <c r="H3240" s="1372">
        <v>3491</v>
      </c>
      <c r="I3240" s="177" t="s">
        <v>292</v>
      </c>
      <c r="J3240" s="38" t="s">
        <v>883</v>
      </c>
      <c r="K3240" s="38"/>
      <c r="L3240" s="389"/>
      <c r="M3240" s="419"/>
      <c r="N3240" s="420"/>
      <c r="O3240" s="43"/>
      <c r="P3240" s="672"/>
      <c r="Q3240" s="671"/>
      <c r="R3240" s="673"/>
    </row>
    <row r="3241" spans="1:18" ht="30" customHeight="1" x14ac:dyDescent="0.25">
      <c r="A3241" s="185" t="s">
        <v>529</v>
      </c>
      <c r="B3241" s="394" t="s">
        <v>560</v>
      </c>
      <c r="C3241" s="395"/>
      <c r="D3241" s="396"/>
      <c r="E3241" s="397" t="s">
        <v>519</v>
      </c>
      <c r="F3241" s="397" t="s">
        <v>561</v>
      </c>
      <c r="G3241" s="398" t="s">
        <v>562</v>
      </c>
      <c r="H3241" s="399"/>
      <c r="I3241" s="181" t="s">
        <v>530</v>
      </c>
      <c r="J3241" s="181"/>
      <c r="K3241" s="288" t="s">
        <v>521</v>
      </c>
      <c r="L3241" s="289"/>
      <c r="M3241" s="419"/>
      <c r="N3241" s="420"/>
      <c r="O3241"/>
      <c r="P3241" s="412"/>
      <c r="Q3241" s="391"/>
      <c r="R3241" s="393"/>
    </row>
    <row r="3242" spans="1:18" ht="30" customHeight="1" x14ac:dyDescent="0.25">
      <c r="A3242" s="778" t="s">
        <v>2171</v>
      </c>
      <c r="B3242" s="503" t="s">
        <v>2172</v>
      </c>
      <c r="C3242" s="504"/>
      <c r="D3242" s="505"/>
      <c r="E3242" s="405">
        <v>121.49</v>
      </c>
      <c r="F3242" s="22" t="s">
        <v>9</v>
      </c>
      <c r="G3242" s="1112"/>
      <c r="H3242" s="758"/>
      <c r="I3242" s="20">
        <v>1.06</v>
      </c>
      <c r="J3242" s="20"/>
      <c r="K3242" s="405">
        <f>+E3242*I3242</f>
        <v>128.77940000000001</v>
      </c>
      <c r="L3242" s="20" t="s">
        <v>9</v>
      </c>
      <c r="M3242" s="425"/>
      <c r="N3242" s="420"/>
      <c r="O3242"/>
      <c r="P3242" s="412"/>
      <c r="Q3242" s="391"/>
      <c r="R3242" s="393"/>
    </row>
    <row r="3243" spans="1:18" ht="30" customHeight="1" x14ac:dyDescent="0.25">
      <c r="A3243" s="1325" t="s">
        <v>644</v>
      </c>
      <c r="B3243" s="503" t="s">
        <v>1477</v>
      </c>
      <c r="C3243" s="504"/>
      <c r="D3243" s="505"/>
      <c r="E3243" s="405">
        <v>3.4</v>
      </c>
      <c r="F3243" s="22" t="s">
        <v>9</v>
      </c>
      <c r="G3243" s="1112"/>
      <c r="H3243" s="758"/>
      <c r="I3243" s="20">
        <v>1.05</v>
      </c>
      <c r="J3243" s="20"/>
      <c r="K3243" s="405">
        <f>+E3243*I3243</f>
        <v>3.57</v>
      </c>
      <c r="L3243" s="20" t="s">
        <v>9</v>
      </c>
      <c r="M3243" s="419"/>
      <c r="N3243" s="420"/>
      <c r="O3243"/>
      <c r="P3243" s="412"/>
      <c r="Q3243" s="391"/>
      <c r="R3243" s="393"/>
    </row>
    <row r="3244" spans="1:18" ht="30" customHeight="1" x14ac:dyDescent="0.25">
      <c r="A3244" s="20"/>
      <c r="B3244" s="186"/>
      <c r="C3244" s="186"/>
      <c r="D3244" s="186"/>
      <c r="E3244" s="405"/>
      <c r="F3244" s="20"/>
      <c r="G3244" s="522"/>
      <c r="H3244" s="20"/>
      <c r="I3244" s="20"/>
      <c r="J3244" s="20" t="s">
        <v>578</v>
      </c>
      <c r="K3244" s="405">
        <f>SUM(K3242:K3243)</f>
        <v>132.3494</v>
      </c>
      <c r="L3244" s="20" t="s">
        <v>9</v>
      </c>
      <c r="M3244" s="419"/>
      <c r="N3244" s="420"/>
      <c r="O3244"/>
      <c r="P3244" s="412"/>
      <c r="Q3244" s="391"/>
      <c r="R3244" s="393"/>
    </row>
    <row r="3245" spans="1:18" s="49" customFormat="1" ht="30" customHeight="1" x14ac:dyDescent="0.25">
      <c r="A3245" s="20"/>
      <c r="B3245" s="410"/>
      <c r="C3245" s="410"/>
      <c r="D3245" s="410"/>
      <c r="E3245" s="405"/>
      <c r="F3245" s="338" t="s">
        <v>533</v>
      </c>
      <c r="G3245" s="339" t="s">
        <v>534</v>
      </c>
      <c r="H3245" s="339"/>
      <c r="I3245" s="339"/>
      <c r="J3245" s="339"/>
      <c r="K3245" s="340">
        <v>1.07</v>
      </c>
      <c r="L3245" s="10"/>
      <c r="M3245" s="419"/>
      <c r="N3245" s="420"/>
      <c r="P3245" s="412"/>
      <c r="Q3245" s="391"/>
      <c r="R3245" s="393"/>
    </row>
    <row r="3246" spans="1:18" ht="30" customHeight="1" x14ac:dyDescent="0.25">
      <c r="A3246" s="20"/>
      <c r="B3246" s="410"/>
      <c r="C3246" s="410"/>
      <c r="D3246" s="410"/>
      <c r="E3246" s="405"/>
      <c r="F3246" s="343"/>
      <c r="G3246" s="344" t="s">
        <v>535</v>
      </c>
      <c r="H3246" s="344"/>
      <c r="I3246" s="344"/>
      <c r="J3246" s="344"/>
      <c r="K3246" s="340">
        <v>1.02</v>
      </c>
      <c r="L3246" s="10"/>
      <c r="M3246" s="670"/>
      <c r="N3246" s="420"/>
      <c r="O3246"/>
      <c r="P3246" s="412"/>
      <c r="Q3246" s="391"/>
      <c r="R3246" s="393"/>
    </row>
    <row r="3247" spans="1:18" ht="30" customHeight="1" x14ac:dyDescent="0.25">
      <c r="A3247" s="20"/>
      <c r="B3247" s="20"/>
      <c r="C3247" s="18"/>
      <c r="D3247" s="18"/>
      <c r="E3247" s="18"/>
      <c r="F3247" s="18"/>
      <c r="G3247" s="18"/>
      <c r="H3247" s="18"/>
      <c r="I3247" s="18"/>
      <c r="J3247" s="20" t="s">
        <v>358</v>
      </c>
      <c r="K3247" s="23">
        <f>+K3244*K3245/K3246</f>
        <v>138.83711568627453</v>
      </c>
      <c r="L3247" s="20" t="s">
        <v>9</v>
      </c>
      <c r="M3247" s="670"/>
      <c r="N3247" s="420"/>
      <c r="O3247"/>
      <c r="P3247" s="412"/>
      <c r="Q3247" s="391"/>
      <c r="R3247" s="393"/>
    </row>
    <row r="3248" spans="1:18" ht="30" customHeight="1" thickBot="1" x14ac:dyDescent="0.3">
      <c r="A3248" s="20"/>
      <c r="B3248" s="20"/>
      <c r="C3248" s="18"/>
      <c r="D3248" s="18"/>
      <c r="E3248" s="18"/>
      <c r="F3248" s="18"/>
      <c r="G3248" s="413" t="s">
        <v>537</v>
      </c>
      <c r="H3248" s="18"/>
      <c r="I3248" s="18"/>
      <c r="J3248" s="361">
        <f>VLOOKUP(B3240,'Mil Cost Premiums for RUCs'!$A$4:$R$265,18,FALSE)</f>
        <v>1.1651974763252515</v>
      </c>
      <c r="K3248" s="23">
        <f>+K3247*J3248</f>
        <v>161.77265681792406</v>
      </c>
      <c r="L3248" s="20" t="s">
        <v>9</v>
      </c>
      <c r="M3248" s="419"/>
      <c r="N3248" s="671"/>
      <c r="O3248"/>
      <c r="P3248" s="412"/>
      <c r="Q3248" s="391"/>
      <c r="R3248" s="393"/>
    </row>
    <row r="3249" spans="1:18" ht="30" customHeight="1" thickBot="1" x14ac:dyDescent="0.3">
      <c r="A3249" s="76"/>
      <c r="B3249" s="77"/>
      <c r="C3249" s="77"/>
      <c r="D3249" s="77"/>
      <c r="E3249" s="77"/>
      <c r="F3249" s="77"/>
      <c r="G3249" s="77"/>
      <c r="H3249" s="77"/>
      <c r="I3249" s="77"/>
      <c r="J3249" s="77"/>
      <c r="K3249" s="77"/>
      <c r="L3249" s="78"/>
      <c r="M3249" s="419"/>
      <c r="N3249" s="671"/>
      <c r="O3249"/>
      <c r="P3249" s="412"/>
      <c r="Q3249" s="391"/>
      <c r="R3249" s="393"/>
    </row>
    <row r="3250" spans="1:18" ht="30" customHeight="1" x14ac:dyDescent="0.25">
      <c r="A3250" s="417" t="s">
        <v>288</v>
      </c>
      <c r="B3250" s="418">
        <v>7346</v>
      </c>
      <c r="C3250" s="415" t="s">
        <v>2173</v>
      </c>
      <c r="D3250" s="416"/>
      <c r="E3250" s="540" t="s">
        <v>291</v>
      </c>
      <c r="F3250" s="541" t="s">
        <v>9</v>
      </c>
      <c r="G3250" s="123" t="s">
        <v>375</v>
      </c>
      <c r="H3250" s="600">
        <v>17452</v>
      </c>
      <c r="I3250" s="540" t="s">
        <v>292</v>
      </c>
      <c r="J3250" s="38" t="s">
        <v>883</v>
      </c>
      <c r="K3250" s="38"/>
      <c r="L3250" s="389"/>
      <c r="M3250" s="419"/>
      <c r="N3250" s="420"/>
      <c r="O3250"/>
      <c r="P3250" s="412"/>
      <c r="Q3250" s="391"/>
      <c r="R3250" s="393"/>
    </row>
    <row r="3251" spans="1:18" ht="30" customHeight="1" x14ac:dyDescent="0.25">
      <c r="A3251" s="421" t="s">
        <v>529</v>
      </c>
      <c r="B3251" s="543" t="s">
        <v>560</v>
      </c>
      <c r="C3251" s="544"/>
      <c r="D3251" s="545"/>
      <c r="E3251" s="546" t="s">
        <v>519</v>
      </c>
      <c r="F3251" s="546" t="s">
        <v>561</v>
      </c>
      <c r="G3251" s="547" t="s">
        <v>562</v>
      </c>
      <c r="H3251" s="548"/>
      <c r="I3251" s="424" t="s">
        <v>530</v>
      </c>
      <c r="J3251" s="424"/>
      <c r="K3251" s="288" t="s">
        <v>521</v>
      </c>
      <c r="L3251" s="289"/>
      <c r="M3251" s="419"/>
      <c r="N3251" s="420"/>
      <c r="O3251" s="43"/>
      <c r="P3251" s="672"/>
      <c r="Q3251" s="671"/>
      <c r="R3251" s="673"/>
    </row>
    <row r="3252" spans="1:18" ht="30" customHeight="1" x14ac:dyDescent="0.25">
      <c r="A3252" s="1345" t="s">
        <v>2157</v>
      </c>
      <c r="B3252" s="323" t="s">
        <v>2174</v>
      </c>
      <c r="C3252" s="324"/>
      <c r="D3252" s="325"/>
      <c r="E3252" s="326">
        <v>80.34</v>
      </c>
      <c r="F3252" s="5" t="s">
        <v>9</v>
      </c>
      <c r="G3252" s="697"/>
      <c r="H3252" s="698"/>
      <c r="I3252" s="10">
        <v>1.06</v>
      </c>
      <c r="J3252" s="10"/>
      <c r="K3252" s="326">
        <f>+E3252*I3252</f>
        <v>85.16040000000001</v>
      </c>
      <c r="L3252" s="10" t="s">
        <v>9</v>
      </c>
      <c r="M3252" s="425"/>
      <c r="N3252" s="420"/>
      <c r="O3252" s="43"/>
      <c r="P3252" s="672"/>
      <c r="Q3252" s="671"/>
      <c r="R3252" s="673"/>
    </row>
    <row r="3253" spans="1:18" ht="30" customHeight="1" x14ac:dyDescent="0.25">
      <c r="A3253" s="1346" t="s">
        <v>1915</v>
      </c>
      <c r="B3253" s="323" t="s">
        <v>692</v>
      </c>
      <c r="C3253" s="324"/>
      <c r="D3253" s="324"/>
      <c r="E3253" s="326">
        <v>3.13</v>
      </c>
      <c r="F3253" s="5" t="s">
        <v>9</v>
      </c>
      <c r="G3253" s="697"/>
      <c r="H3253" s="698"/>
      <c r="I3253" s="10">
        <v>1.06</v>
      </c>
      <c r="J3253" s="10"/>
      <c r="K3253" s="326">
        <f>+E3253*I3253</f>
        <v>3.3178000000000001</v>
      </c>
      <c r="L3253" s="10" t="s">
        <v>9</v>
      </c>
      <c r="M3253" s="419"/>
      <c r="N3253" s="420"/>
      <c r="O3253"/>
      <c r="P3253" s="412"/>
      <c r="Q3253" s="391"/>
      <c r="R3253" s="393"/>
    </row>
    <row r="3254" spans="1:18" ht="30" customHeight="1" x14ac:dyDescent="0.25">
      <c r="A3254" s="1346" t="s">
        <v>664</v>
      </c>
      <c r="B3254" s="323" t="s">
        <v>2175</v>
      </c>
      <c r="C3254" s="324"/>
      <c r="D3254" s="325"/>
      <c r="E3254" s="326">
        <f>+(19.15+29.75)/2</f>
        <v>24.45</v>
      </c>
      <c r="F3254" s="5" t="s">
        <v>1370</v>
      </c>
      <c r="G3254" s="1373">
        <f>81*E3254*2/H3250</f>
        <v>0.22695966078386431</v>
      </c>
      <c r="H3254" s="698" t="s">
        <v>2087</v>
      </c>
      <c r="I3254" s="10">
        <v>1.02</v>
      </c>
      <c r="J3254" s="10"/>
      <c r="K3254" s="326">
        <f t="shared" ref="K3254:K3259" si="55">+G3254*I3254</f>
        <v>0.23149885399954159</v>
      </c>
      <c r="L3254" s="10" t="s">
        <v>9</v>
      </c>
      <c r="M3254" s="419"/>
      <c r="N3254" s="420"/>
      <c r="O3254"/>
      <c r="P3254" s="412"/>
      <c r="Q3254" s="391"/>
      <c r="R3254" s="393"/>
    </row>
    <row r="3255" spans="1:18" ht="30" customHeight="1" x14ac:dyDescent="0.25">
      <c r="A3255" s="1346" t="s">
        <v>664</v>
      </c>
      <c r="B3255" s="323" t="s">
        <v>2176</v>
      </c>
      <c r="C3255" s="324"/>
      <c r="D3255" s="325"/>
      <c r="E3255" s="326">
        <f>+(1610+2280)/2</f>
        <v>1945</v>
      </c>
      <c r="F3255" s="5" t="s">
        <v>1545</v>
      </c>
      <c r="G3255" s="1373">
        <f>+E3255*2/H3250</f>
        <v>0.22289708915883566</v>
      </c>
      <c r="H3255" s="698" t="s">
        <v>2087</v>
      </c>
      <c r="I3255" s="10">
        <v>1.02</v>
      </c>
      <c r="J3255" s="10"/>
      <c r="K3255" s="326">
        <f t="shared" si="55"/>
        <v>0.22735503094201237</v>
      </c>
      <c r="L3255" s="10" t="s">
        <v>9</v>
      </c>
      <c r="M3255" s="419"/>
      <c r="N3255" s="420"/>
      <c r="O3255"/>
      <c r="P3255" s="412"/>
      <c r="Q3255" s="391"/>
      <c r="R3255" s="393"/>
    </row>
    <row r="3256" spans="1:18" ht="30" customHeight="1" x14ac:dyDescent="0.25">
      <c r="A3256" s="1346" t="s">
        <v>668</v>
      </c>
      <c r="B3256" s="323" t="s">
        <v>2177</v>
      </c>
      <c r="C3256" s="324"/>
      <c r="D3256" s="325"/>
      <c r="E3256" s="326">
        <f>(31.5+75)/2</f>
        <v>53.25</v>
      </c>
      <c r="F3256" s="5" t="s">
        <v>2090</v>
      </c>
      <c r="G3256" s="1373">
        <f>10*E3256*2/H3250</f>
        <v>6.1024524409809766E-2</v>
      </c>
      <c r="H3256" s="698" t="s">
        <v>2087</v>
      </c>
      <c r="I3256" s="10">
        <v>1.04</v>
      </c>
      <c r="J3256" s="10"/>
      <c r="K3256" s="326">
        <f t="shared" si="55"/>
        <v>6.3465505386202159E-2</v>
      </c>
      <c r="L3256" s="10" t="s">
        <v>9</v>
      </c>
      <c r="M3256" s="419"/>
      <c r="N3256" s="420"/>
      <c r="O3256"/>
      <c r="P3256" s="412"/>
      <c r="Q3256" s="391"/>
      <c r="R3256" s="393"/>
    </row>
    <row r="3257" spans="1:18" s="49" customFormat="1" ht="30" customHeight="1" x14ac:dyDescent="0.25">
      <c r="A3257" s="1346" t="s">
        <v>668</v>
      </c>
      <c r="B3257" s="323" t="s">
        <v>1373</v>
      </c>
      <c r="C3257" s="324"/>
      <c r="D3257" s="325"/>
      <c r="E3257" s="326">
        <f>+(5900+11300)/2</f>
        <v>8600</v>
      </c>
      <c r="F3257" s="5" t="s">
        <v>11</v>
      </c>
      <c r="G3257" s="1373">
        <f>+E3257*2/H3250</f>
        <v>0.98556039422415764</v>
      </c>
      <c r="H3257" s="698" t="s">
        <v>2087</v>
      </c>
      <c r="I3257" s="10">
        <v>1.04</v>
      </c>
      <c r="J3257" s="10"/>
      <c r="K3257" s="326">
        <f t="shared" si="55"/>
        <v>1.024982809993124</v>
      </c>
      <c r="L3257" s="10" t="s">
        <v>9</v>
      </c>
      <c r="M3257" s="419"/>
      <c r="N3257" s="420"/>
      <c r="P3257" s="412"/>
      <c r="Q3257" s="391"/>
      <c r="R3257" s="393"/>
    </row>
    <row r="3258" spans="1:18" ht="30" customHeight="1" x14ac:dyDescent="0.25">
      <c r="A3258" s="1346" t="s">
        <v>668</v>
      </c>
      <c r="B3258" s="323" t="s">
        <v>1374</v>
      </c>
      <c r="C3258" s="324"/>
      <c r="D3258" s="325"/>
      <c r="E3258" s="326">
        <f>(605+925)/2</f>
        <v>765</v>
      </c>
      <c r="F3258" s="5" t="s">
        <v>11</v>
      </c>
      <c r="G3258" s="1373">
        <f>+E3258*2/H3250</f>
        <v>8.7669035067614032E-2</v>
      </c>
      <c r="H3258" s="698" t="s">
        <v>2087</v>
      </c>
      <c r="I3258" s="10">
        <v>1.04</v>
      </c>
      <c r="J3258" s="10"/>
      <c r="K3258" s="326">
        <f t="shared" si="55"/>
        <v>9.1175796470318593E-2</v>
      </c>
      <c r="L3258" s="10" t="s">
        <v>9</v>
      </c>
      <c r="M3258" s="670"/>
      <c r="N3258" s="420"/>
      <c r="O3258"/>
      <c r="P3258" s="412"/>
      <c r="Q3258" s="391"/>
      <c r="R3258" s="393"/>
    </row>
    <row r="3259" spans="1:18" ht="30" customHeight="1" x14ac:dyDescent="0.25">
      <c r="A3259" s="1346" t="s">
        <v>668</v>
      </c>
      <c r="B3259" s="323" t="s">
        <v>1375</v>
      </c>
      <c r="C3259" s="324"/>
      <c r="D3259" s="325"/>
      <c r="E3259" s="326">
        <f>(1060+3175)/2</f>
        <v>2117.5</v>
      </c>
      <c r="F3259" s="5" t="s">
        <v>11</v>
      </c>
      <c r="G3259" s="1373">
        <f>+E3259*2/H3250</f>
        <v>0.24266559706623883</v>
      </c>
      <c r="H3259" s="698" t="s">
        <v>2087</v>
      </c>
      <c r="I3259" s="10">
        <v>1.04</v>
      </c>
      <c r="J3259" s="10"/>
      <c r="K3259" s="326">
        <f t="shared" si="55"/>
        <v>0.25237222094888839</v>
      </c>
      <c r="L3259" s="10" t="s">
        <v>9</v>
      </c>
      <c r="M3259" s="670"/>
      <c r="N3259" s="420"/>
      <c r="O3259"/>
      <c r="P3259" s="412"/>
      <c r="Q3259" s="391"/>
      <c r="R3259" s="393"/>
    </row>
    <row r="3260" spans="1:18" ht="30" customHeight="1" x14ac:dyDescent="0.25">
      <c r="A3260" s="1331"/>
      <c r="B3260" s="551"/>
      <c r="C3260" s="551"/>
      <c r="D3260" s="551"/>
      <c r="E3260" s="326"/>
      <c r="F3260" s="10"/>
      <c r="G3260" s="1055"/>
      <c r="H3260" s="10"/>
      <c r="I3260" s="10"/>
      <c r="J3260" s="10" t="s">
        <v>578</v>
      </c>
      <c r="K3260" s="326">
        <f>SUM(K3252:K3259)</f>
        <v>90.369050217740096</v>
      </c>
      <c r="L3260" s="10" t="s">
        <v>9</v>
      </c>
      <c r="M3260" s="419"/>
      <c r="N3260" s="671"/>
      <c r="O3260"/>
      <c r="P3260" s="412"/>
      <c r="Q3260" s="391"/>
      <c r="R3260" s="393"/>
    </row>
    <row r="3261" spans="1:18" ht="30" customHeight="1" x14ac:dyDescent="0.25">
      <c r="A3261" s="20"/>
      <c r="B3261" s="410"/>
      <c r="C3261" s="410"/>
      <c r="D3261" s="410"/>
      <c r="E3261" s="405"/>
      <c r="F3261" s="338" t="s">
        <v>533</v>
      </c>
      <c r="G3261" s="339" t="s">
        <v>534</v>
      </c>
      <c r="H3261" s="339"/>
      <c r="I3261" s="339"/>
      <c r="J3261" s="339"/>
      <c r="K3261" s="340">
        <v>1.07</v>
      </c>
      <c r="L3261" s="10"/>
      <c r="M3261" s="419"/>
      <c r="N3261" s="671"/>
      <c r="O3261" s="43"/>
      <c r="P3261" s="672"/>
      <c r="Q3261" s="671"/>
      <c r="R3261" s="673"/>
    </row>
    <row r="3262" spans="1:18" ht="30" customHeight="1" x14ac:dyDescent="0.25">
      <c r="A3262" s="20"/>
      <c r="B3262" s="410"/>
      <c r="C3262" s="410"/>
      <c r="D3262" s="410"/>
      <c r="E3262" s="405"/>
      <c r="F3262" s="343"/>
      <c r="G3262" s="344" t="s">
        <v>535</v>
      </c>
      <c r="H3262" s="344"/>
      <c r="I3262" s="344"/>
      <c r="J3262" s="344"/>
      <c r="K3262" s="340">
        <v>1.02</v>
      </c>
      <c r="L3262" s="10"/>
      <c r="M3262" s="419"/>
      <c r="N3262" s="420"/>
      <c r="O3262" s="43"/>
      <c r="P3262" s="672"/>
      <c r="Q3262" s="671"/>
      <c r="R3262" s="673"/>
    </row>
    <row r="3263" spans="1:18" ht="30" customHeight="1" x14ac:dyDescent="0.25">
      <c r="A3263" s="10"/>
      <c r="B3263" s="10"/>
      <c r="C3263" s="13"/>
      <c r="D3263" s="13"/>
      <c r="E3263" s="13"/>
      <c r="F3263" s="13"/>
      <c r="G3263" s="13"/>
      <c r="H3263" s="13"/>
      <c r="I3263" s="13"/>
      <c r="J3263" s="10" t="s">
        <v>358</v>
      </c>
      <c r="K3263" s="14">
        <f>+K3260*K3261/K3262</f>
        <v>94.798905620570494</v>
      </c>
      <c r="L3263" s="10" t="s">
        <v>9</v>
      </c>
      <c r="M3263" s="419"/>
      <c r="N3263" s="420"/>
      <c r="O3263"/>
      <c r="P3263" s="412"/>
      <c r="Q3263" s="391"/>
      <c r="R3263" s="393"/>
    </row>
    <row r="3264" spans="1:18" ht="30" customHeight="1" x14ac:dyDescent="0.25">
      <c r="A3264" s="10"/>
      <c r="B3264" s="10"/>
      <c r="C3264" s="13"/>
      <c r="D3264" s="13"/>
      <c r="E3264" s="13"/>
      <c r="F3264" s="13"/>
      <c r="G3264" s="1374" t="s">
        <v>652</v>
      </c>
      <c r="H3264" s="1375"/>
      <c r="I3264" s="1376"/>
      <c r="J3264" s="361">
        <f>VLOOKUP(B3250,'Mil Cost Premiums for RUCs'!$A$4:$R$265,18,FALSE)</f>
        <v>1.2146671166928804</v>
      </c>
      <c r="K3264" s="14">
        <f>+K3263*J3264</f>
        <v>115.14911335577885</v>
      </c>
      <c r="L3264" s="10" t="s">
        <v>9</v>
      </c>
      <c r="M3264" s="425"/>
      <c r="N3264" s="420"/>
      <c r="O3264"/>
      <c r="P3264" s="412"/>
      <c r="Q3264" s="391"/>
      <c r="R3264" s="393"/>
    </row>
    <row r="3265" spans="1:18" ht="75" customHeight="1" x14ac:dyDescent="0.25">
      <c r="A3265" s="580" t="s">
        <v>538</v>
      </c>
      <c r="B3265" s="532"/>
      <c r="C3265" s="532"/>
      <c r="D3265" s="532"/>
      <c r="E3265" s="532"/>
      <c r="F3265" s="532"/>
      <c r="G3265" s="532"/>
      <c r="H3265" s="532"/>
      <c r="I3265" s="532"/>
      <c r="J3265" s="532"/>
      <c r="K3265" s="532"/>
      <c r="L3265" s="533"/>
      <c r="M3265" s="419"/>
      <c r="N3265" s="420"/>
      <c r="O3265"/>
      <c r="P3265" s="412"/>
      <c r="Q3265" s="391"/>
      <c r="R3265" s="393"/>
    </row>
    <row r="3266" spans="1:18" ht="45" customHeight="1" x14ac:dyDescent="0.25">
      <c r="A3266" s="217" t="s">
        <v>539</v>
      </c>
      <c r="B3266" s="218"/>
      <c r="C3266" s="219"/>
      <c r="D3266" s="386" t="s">
        <v>2178</v>
      </c>
      <c r="E3266" s="849"/>
      <c r="F3266" s="849"/>
      <c r="G3266" s="849"/>
      <c r="H3266" s="849"/>
      <c r="I3266" s="849"/>
      <c r="J3266" s="849"/>
      <c r="K3266" s="849"/>
      <c r="L3266" s="850"/>
      <c r="M3266" s="419"/>
      <c r="N3266" s="420"/>
      <c r="O3266"/>
      <c r="P3266" s="412"/>
      <c r="Q3266" s="391"/>
      <c r="R3266" s="393"/>
    </row>
    <row r="3267" spans="1:18" s="49" customFormat="1" ht="30" customHeight="1" x14ac:dyDescent="0.25">
      <c r="A3267" s="217" t="s">
        <v>541</v>
      </c>
      <c r="B3267" s="218"/>
      <c r="C3267" s="219"/>
      <c r="D3267" s="386" t="s">
        <v>2151</v>
      </c>
      <c r="E3267" s="849"/>
      <c r="F3267" s="849"/>
      <c r="G3267" s="849"/>
      <c r="H3267" s="849"/>
      <c r="I3267" s="849"/>
      <c r="J3267" s="849"/>
      <c r="K3267" s="849"/>
      <c r="L3267" s="850"/>
      <c r="M3267" s="419"/>
      <c r="N3267" s="420"/>
      <c r="P3267" s="412"/>
      <c r="Q3267" s="391"/>
      <c r="R3267" s="393"/>
    </row>
    <row r="3268" spans="1:18" ht="30" customHeight="1" x14ac:dyDescent="0.25">
      <c r="A3268" s="217" t="s">
        <v>543</v>
      </c>
      <c r="B3268" s="218"/>
      <c r="C3268" s="219"/>
      <c r="D3268" s="386" t="s">
        <v>2179</v>
      </c>
      <c r="E3268" s="849"/>
      <c r="F3268" s="849"/>
      <c r="G3268" s="849"/>
      <c r="H3268" s="849"/>
      <c r="I3268" s="849"/>
      <c r="J3268" s="849"/>
      <c r="K3268" s="849"/>
      <c r="L3268" s="850"/>
      <c r="M3268" s="670"/>
      <c r="N3268" s="420"/>
      <c r="O3268"/>
      <c r="P3268" s="412"/>
      <c r="Q3268" s="391"/>
      <c r="R3268" s="393"/>
    </row>
    <row r="3269" spans="1:18" ht="30" customHeight="1" x14ac:dyDescent="0.25">
      <c r="A3269" s="217" t="s">
        <v>546</v>
      </c>
      <c r="B3269" s="218"/>
      <c r="C3269" s="219"/>
      <c r="D3269" s="386" t="s">
        <v>2180</v>
      </c>
      <c r="E3269" s="849"/>
      <c r="F3269" s="849"/>
      <c r="G3269" s="849"/>
      <c r="H3269" s="849"/>
      <c r="I3269" s="849"/>
      <c r="J3269" s="849"/>
      <c r="K3269" s="849"/>
      <c r="L3269" s="850"/>
      <c r="M3269" s="670"/>
      <c r="N3269" s="420"/>
      <c r="O3269"/>
      <c r="P3269" s="412"/>
      <c r="Q3269" s="391"/>
      <c r="R3269" s="393"/>
    </row>
    <row r="3270" spans="1:18" ht="45" customHeight="1" x14ac:dyDescent="0.25">
      <c r="A3270" s="217" t="s">
        <v>548</v>
      </c>
      <c r="B3270" s="218"/>
      <c r="C3270" s="219"/>
      <c r="D3270" s="386" t="s">
        <v>2181</v>
      </c>
      <c r="E3270" s="849"/>
      <c r="F3270" s="849"/>
      <c r="G3270" s="849"/>
      <c r="H3270" s="849"/>
      <c r="I3270" s="849"/>
      <c r="J3270" s="849"/>
      <c r="K3270" s="849"/>
      <c r="L3270" s="850"/>
      <c r="M3270" s="419"/>
      <c r="N3270" s="671"/>
      <c r="O3270"/>
      <c r="P3270" s="412"/>
      <c r="Q3270" s="391"/>
      <c r="R3270" s="393"/>
    </row>
    <row r="3271" spans="1:18" ht="30" customHeight="1" x14ac:dyDescent="0.25">
      <c r="A3271" s="217" t="s">
        <v>550</v>
      </c>
      <c r="B3271" s="218"/>
      <c r="C3271" s="219"/>
      <c r="D3271" s="386" t="s">
        <v>2048</v>
      </c>
      <c r="E3271" s="849"/>
      <c r="F3271" s="849"/>
      <c r="G3271" s="849"/>
      <c r="H3271" s="849"/>
      <c r="I3271" s="849"/>
      <c r="J3271" s="849"/>
      <c r="K3271" s="849"/>
      <c r="L3271" s="850"/>
      <c r="M3271" s="419"/>
      <c r="N3271" s="671"/>
      <c r="O3271" s="43"/>
      <c r="P3271" s="672"/>
      <c r="Q3271" s="671"/>
      <c r="R3271" s="673"/>
    </row>
    <row r="3272" spans="1:18" ht="30" customHeight="1" x14ac:dyDescent="0.25">
      <c r="A3272" s="217" t="s">
        <v>552</v>
      </c>
      <c r="B3272" s="218"/>
      <c r="C3272" s="219"/>
      <c r="D3272" s="386" t="s">
        <v>2182</v>
      </c>
      <c r="E3272" s="849"/>
      <c r="F3272" s="849"/>
      <c r="G3272" s="849"/>
      <c r="H3272" s="849"/>
      <c r="I3272" s="849"/>
      <c r="J3272" s="849"/>
      <c r="K3272" s="849"/>
      <c r="L3272" s="850"/>
      <c r="M3272" s="419"/>
      <c r="N3272" s="420"/>
      <c r="O3272" s="43"/>
      <c r="P3272" s="672"/>
      <c r="Q3272" s="671"/>
      <c r="R3272" s="673"/>
    </row>
    <row r="3273" spans="1:18" ht="75" customHeight="1" x14ac:dyDescent="0.25">
      <c r="A3273" s="217" t="s">
        <v>553</v>
      </c>
      <c r="B3273" s="218"/>
      <c r="C3273" s="219"/>
      <c r="D3273" s="386" t="s">
        <v>660</v>
      </c>
      <c r="E3273" s="849"/>
      <c r="F3273" s="849"/>
      <c r="G3273" s="849"/>
      <c r="H3273" s="849"/>
      <c r="I3273" s="849"/>
      <c r="J3273" s="849"/>
      <c r="K3273" s="849"/>
      <c r="L3273" s="850"/>
      <c r="M3273" s="419"/>
      <c r="N3273" s="420"/>
      <c r="O3273"/>
      <c r="P3273" s="412"/>
      <c r="Q3273" s="391"/>
      <c r="R3273" s="393"/>
    </row>
    <row r="3274" spans="1:18" ht="30" customHeight="1" thickBot="1" x14ac:dyDescent="0.3">
      <c r="A3274" s="217" t="s">
        <v>556</v>
      </c>
      <c r="B3274" s="218"/>
      <c r="C3274" s="219"/>
      <c r="D3274" s="386" t="s">
        <v>2183</v>
      </c>
      <c r="E3274" s="849"/>
      <c r="F3274" s="849"/>
      <c r="G3274" s="849"/>
      <c r="H3274" s="849"/>
      <c r="I3274" s="849"/>
      <c r="J3274" s="849"/>
      <c r="K3274" s="849"/>
      <c r="L3274" s="850"/>
      <c r="M3274" s="425"/>
      <c r="N3274" s="420"/>
      <c r="O3274"/>
      <c r="P3274" s="412"/>
      <c r="Q3274" s="391"/>
      <c r="R3274" s="393"/>
    </row>
    <row r="3275" spans="1:18" ht="30" customHeight="1" thickBot="1" x14ac:dyDescent="0.3">
      <c r="A3275" s="76"/>
      <c r="B3275" s="77"/>
      <c r="C3275" s="77"/>
      <c r="D3275" s="77"/>
      <c r="E3275" s="77"/>
      <c r="F3275" s="77"/>
      <c r="G3275" s="77"/>
      <c r="H3275" s="77"/>
      <c r="I3275" s="77"/>
      <c r="J3275" s="77"/>
      <c r="K3275" s="77"/>
      <c r="L3275" s="78"/>
      <c r="M3275" s="419"/>
      <c r="N3275" s="420"/>
      <c r="O3275"/>
      <c r="P3275" s="412"/>
      <c r="Q3275" s="391"/>
      <c r="R3275" s="393"/>
    </row>
    <row r="3276" spans="1:18" ht="30" customHeight="1" x14ac:dyDescent="0.25">
      <c r="A3276" s="207" t="s">
        <v>288</v>
      </c>
      <c r="B3276" s="208">
        <v>7347</v>
      </c>
      <c r="C3276" s="209" t="s">
        <v>2184</v>
      </c>
      <c r="D3276" s="210"/>
      <c r="E3276" s="177" t="s">
        <v>291</v>
      </c>
      <c r="F3276" s="178" t="s">
        <v>9</v>
      </c>
      <c r="G3276" s="123" t="s">
        <v>375</v>
      </c>
      <c r="H3276" s="179">
        <v>3933</v>
      </c>
      <c r="I3276" s="177" t="s">
        <v>292</v>
      </c>
      <c r="J3276" s="38" t="s">
        <v>883</v>
      </c>
      <c r="K3276" s="38"/>
      <c r="L3276" s="389"/>
      <c r="M3276" s="419"/>
      <c r="N3276" s="420"/>
      <c r="O3276"/>
      <c r="P3276" s="412"/>
      <c r="Q3276" s="391"/>
      <c r="R3276" s="393"/>
    </row>
    <row r="3277" spans="1:18" s="49" customFormat="1" ht="30" customHeight="1" x14ac:dyDescent="0.25">
      <c r="A3277" s="185" t="s">
        <v>529</v>
      </c>
      <c r="B3277" s="394" t="s">
        <v>560</v>
      </c>
      <c r="C3277" s="395"/>
      <c r="D3277" s="396"/>
      <c r="E3277" s="397" t="s">
        <v>519</v>
      </c>
      <c r="F3277" s="397" t="s">
        <v>561</v>
      </c>
      <c r="G3277" s="398" t="s">
        <v>562</v>
      </c>
      <c r="H3277" s="399"/>
      <c r="I3277" s="181" t="s">
        <v>530</v>
      </c>
      <c r="J3277" s="181"/>
      <c r="K3277" s="288" t="s">
        <v>521</v>
      </c>
      <c r="L3277" s="289"/>
      <c r="M3277" s="419"/>
      <c r="N3277" s="420"/>
      <c r="P3277" s="412"/>
      <c r="Q3277" s="391"/>
      <c r="R3277" s="393"/>
    </row>
    <row r="3278" spans="1:18" ht="30" customHeight="1" x14ac:dyDescent="0.25">
      <c r="A3278" s="778" t="s">
        <v>2185</v>
      </c>
      <c r="B3278" s="503" t="s">
        <v>2186</v>
      </c>
      <c r="C3278" s="504"/>
      <c r="D3278" s="505"/>
      <c r="E3278" s="405">
        <v>164.65</v>
      </c>
      <c r="F3278" s="22" t="s">
        <v>9</v>
      </c>
      <c r="G3278" s="1112"/>
      <c r="H3278" s="758"/>
      <c r="I3278" s="20">
        <v>1.05</v>
      </c>
      <c r="J3278" s="20"/>
      <c r="K3278" s="405">
        <f>+E3278*I3278</f>
        <v>172.88250000000002</v>
      </c>
      <c r="L3278" s="20" t="s">
        <v>9</v>
      </c>
      <c r="M3278" s="670"/>
      <c r="N3278" s="420"/>
      <c r="O3278"/>
      <c r="P3278" s="412"/>
      <c r="Q3278" s="391"/>
      <c r="R3278" s="393"/>
    </row>
    <row r="3279" spans="1:18" ht="30" customHeight="1" x14ac:dyDescent="0.25">
      <c r="A3279" s="1325" t="s">
        <v>691</v>
      </c>
      <c r="B3279" s="503" t="s">
        <v>2058</v>
      </c>
      <c r="C3279" s="504"/>
      <c r="D3279" s="505"/>
      <c r="E3279" s="405">
        <v>4.4800000000000004</v>
      </c>
      <c r="F3279" s="22" t="s">
        <v>9</v>
      </c>
      <c r="G3279" s="1112"/>
      <c r="H3279" s="758"/>
      <c r="I3279" s="20">
        <v>1.05</v>
      </c>
      <c r="J3279" s="20"/>
      <c r="K3279" s="405">
        <f>+E3279*I3279</f>
        <v>4.7040000000000006</v>
      </c>
      <c r="L3279" s="20" t="s">
        <v>9</v>
      </c>
      <c r="M3279" s="670"/>
      <c r="N3279" s="420"/>
      <c r="O3279"/>
      <c r="P3279" s="412"/>
      <c r="Q3279" s="391"/>
      <c r="R3279" s="393"/>
    </row>
    <row r="3280" spans="1:18" ht="30" customHeight="1" x14ac:dyDescent="0.25">
      <c r="A3280" s="20"/>
      <c r="B3280" s="186"/>
      <c r="C3280" s="186"/>
      <c r="D3280" s="186"/>
      <c r="E3280" s="405"/>
      <c r="F3280" s="20"/>
      <c r="G3280" s="522"/>
      <c r="H3280" s="20"/>
      <c r="I3280" s="20"/>
      <c r="J3280" s="20" t="s">
        <v>578</v>
      </c>
      <c r="K3280" s="405">
        <f>SUM(K3278:K3279)</f>
        <v>177.58650000000003</v>
      </c>
      <c r="L3280" s="20" t="s">
        <v>9</v>
      </c>
      <c r="M3280" s="419"/>
      <c r="N3280" s="671"/>
      <c r="O3280"/>
      <c r="P3280" s="412"/>
      <c r="Q3280" s="391"/>
      <c r="R3280" s="393"/>
    </row>
    <row r="3281" spans="1:18" ht="30" customHeight="1" x14ac:dyDescent="0.25">
      <c r="A3281" s="20"/>
      <c r="B3281" s="410"/>
      <c r="C3281" s="410"/>
      <c r="D3281" s="410"/>
      <c r="E3281" s="405"/>
      <c r="F3281" s="338" t="s">
        <v>533</v>
      </c>
      <c r="G3281" s="339" t="s">
        <v>534</v>
      </c>
      <c r="H3281" s="339"/>
      <c r="I3281" s="339"/>
      <c r="J3281" s="339"/>
      <c r="K3281" s="340">
        <v>1.07</v>
      </c>
      <c r="L3281" s="10"/>
      <c r="M3281" s="419"/>
      <c r="N3281" s="671"/>
      <c r="O3281"/>
      <c r="P3281" s="412"/>
      <c r="Q3281" s="391"/>
      <c r="R3281" s="393"/>
    </row>
    <row r="3282" spans="1:18" ht="30" customHeight="1" x14ac:dyDescent="0.25">
      <c r="A3282" s="20"/>
      <c r="B3282" s="410"/>
      <c r="C3282" s="410"/>
      <c r="D3282" s="410"/>
      <c r="E3282" s="405"/>
      <c r="F3282" s="343"/>
      <c r="G3282" s="344" t="s">
        <v>535</v>
      </c>
      <c r="H3282" s="344"/>
      <c r="I3282" s="344"/>
      <c r="J3282" s="344"/>
      <c r="K3282" s="340">
        <v>1.02</v>
      </c>
      <c r="L3282" s="10"/>
      <c r="M3282" s="419"/>
      <c r="N3282" s="420"/>
      <c r="O3282"/>
      <c r="P3282" s="412"/>
      <c r="Q3282" s="391"/>
      <c r="R3282" s="393"/>
    </row>
    <row r="3283" spans="1:18" ht="30" customHeight="1" x14ac:dyDescent="0.25">
      <c r="A3283" s="20"/>
      <c r="B3283" s="20"/>
      <c r="C3283" s="18"/>
      <c r="D3283" s="18"/>
      <c r="E3283" s="18"/>
      <c r="F3283" s="18"/>
      <c r="G3283" s="18"/>
      <c r="H3283" s="18"/>
      <c r="I3283" s="18"/>
      <c r="J3283" s="20" t="s">
        <v>358</v>
      </c>
      <c r="K3283" s="23">
        <f>+K3280*K3281/K3282</f>
        <v>186.29172058823534</v>
      </c>
      <c r="L3283" s="20" t="s">
        <v>9</v>
      </c>
      <c r="M3283" s="419"/>
      <c r="N3283" s="420"/>
      <c r="O3283"/>
      <c r="P3283" s="412"/>
      <c r="Q3283" s="391"/>
      <c r="R3283" s="393"/>
    </row>
    <row r="3284" spans="1:18" ht="30" customHeight="1" thickBot="1" x14ac:dyDescent="0.3">
      <c r="A3284" s="20"/>
      <c r="B3284" s="20"/>
      <c r="C3284" s="18"/>
      <c r="D3284" s="18"/>
      <c r="E3284" s="18"/>
      <c r="F3284" s="18"/>
      <c r="G3284" s="413" t="s">
        <v>537</v>
      </c>
      <c r="H3284" s="18"/>
      <c r="I3284" s="18"/>
      <c r="J3284" s="361">
        <f>VLOOKUP(B3276,'Mil Cost Premiums for RUCs'!$A$4:$R$265,18,FALSE)</f>
        <v>1.3148549708569053</v>
      </c>
      <c r="K3284" s="23">
        <f>+K3283*J3284</f>
        <v>244.94659484492692</v>
      </c>
      <c r="L3284" s="20" t="s">
        <v>9</v>
      </c>
      <c r="M3284" s="425"/>
      <c r="N3284" s="420"/>
      <c r="O3284"/>
      <c r="P3284" s="412"/>
      <c r="Q3284" s="391"/>
      <c r="R3284" s="393"/>
    </row>
    <row r="3285" spans="1:18" ht="30" customHeight="1" thickBot="1" x14ac:dyDescent="0.3">
      <c r="A3285" s="76"/>
      <c r="B3285" s="77"/>
      <c r="C3285" s="77"/>
      <c r="D3285" s="77"/>
      <c r="E3285" s="77"/>
      <c r="F3285" s="77"/>
      <c r="G3285" s="77"/>
      <c r="H3285" s="77"/>
      <c r="I3285" s="77"/>
      <c r="J3285" s="77"/>
      <c r="K3285" s="77"/>
      <c r="L3285" s="78"/>
      <c r="M3285" s="419"/>
      <c r="N3285" s="420"/>
      <c r="O3285"/>
      <c r="P3285" s="412"/>
      <c r="Q3285" s="391"/>
      <c r="R3285" s="393"/>
    </row>
    <row r="3286" spans="1:18" ht="30" customHeight="1" x14ac:dyDescent="0.25">
      <c r="A3286" s="207" t="s">
        <v>288</v>
      </c>
      <c r="B3286" s="208">
        <v>7348</v>
      </c>
      <c r="C3286" s="209" t="s">
        <v>2187</v>
      </c>
      <c r="D3286" s="210"/>
      <c r="E3286" s="177" t="s">
        <v>291</v>
      </c>
      <c r="F3286" s="178" t="s">
        <v>9</v>
      </c>
      <c r="G3286" s="250" t="s">
        <v>2188</v>
      </c>
      <c r="H3286" s="179">
        <v>1289</v>
      </c>
      <c r="I3286" s="177" t="s">
        <v>292</v>
      </c>
      <c r="J3286" s="38" t="s">
        <v>883</v>
      </c>
      <c r="K3286" s="38"/>
      <c r="L3286" s="389"/>
      <c r="M3286" s="419"/>
      <c r="N3286" s="420"/>
      <c r="O3286"/>
      <c r="P3286" s="412"/>
      <c r="Q3286" s="391"/>
      <c r="R3286" s="393"/>
    </row>
    <row r="3287" spans="1:18" ht="30" customHeight="1" x14ac:dyDescent="0.25">
      <c r="A3287" s="185" t="s">
        <v>529</v>
      </c>
      <c r="B3287" s="394" t="s">
        <v>560</v>
      </c>
      <c r="C3287" s="395"/>
      <c r="D3287" s="396"/>
      <c r="E3287" s="397" t="s">
        <v>519</v>
      </c>
      <c r="F3287" s="397" t="s">
        <v>561</v>
      </c>
      <c r="G3287" s="398" t="s">
        <v>562</v>
      </c>
      <c r="H3287" s="399"/>
      <c r="I3287" s="181" t="s">
        <v>530</v>
      </c>
      <c r="J3287" s="181"/>
      <c r="K3287" s="288" t="s">
        <v>521</v>
      </c>
      <c r="L3287" s="289"/>
      <c r="M3287" s="419"/>
      <c r="N3287" s="420"/>
      <c r="O3287" s="43"/>
      <c r="P3287" s="672"/>
      <c r="Q3287" s="671"/>
      <c r="R3287" s="673"/>
    </row>
    <row r="3288" spans="1:18" ht="30" customHeight="1" x14ac:dyDescent="0.25">
      <c r="A3288" s="778" t="s">
        <v>2189</v>
      </c>
      <c r="B3288" s="503" t="s">
        <v>2190</v>
      </c>
      <c r="C3288" s="504"/>
      <c r="D3288" s="505"/>
      <c r="E3288" s="405">
        <v>71.569999999999993</v>
      </c>
      <c r="F3288" s="22" t="s">
        <v>9</v>
      </c>
      <c r="G3288" s="1112"/>
      <c r="H3288" s="758"/>
      <c r="I3288" s="20">
        <v>1.06</v>
      </c>
      <c r="J3288" s="20"/>
      <c r="K3288" s="405">
        <f>+E3288*I3288</f>
        <v>75.864199999999997</v>
      </c>
      <c r="L3288" s="20" t="s">
        <v>9</v>
      </c>
      <c r="M3288" s="419"/>
      <c r="N3288" s="420"/>
      <c r="O3288" s="43"/>
      <c r="P3288" s="672"/>
      <c r="Q3288" s="671"/>
      <c r="R3288" s="673"/>
    </row>
    <row r="3289" spans="1:18" ht="30" customHeight="1" x14ac:dyDescent="0.25">
      <c r="A3289" s="20"/>
      <c r="B3289" s="410"/>
      <c r="C3289" s="410"/>
      <c r="D3289" s="410"/>
      <c r="E3289" s="405"/>
      <c r="F3289" s="338" t="s">
        <v>533</v>
      </c>
      <c r="G3289" s="339" t="s">
        <v>534</v>
      </c>
      <c r="H3289" s="339"/>
      <c r="I3289" s="339"/>
      <c r="J3289" s="339"/>
      <c r="K3289" s="340">
        <v>1.07</v>
      </c>
      <c r="L3289" s="10"/>
      <c r="M3289" s="419"/>
      <c r="N3289" s="420"/>
      <c r="O3289"/>
      <c r="P3289" s="412"/>
      <c r="Q3289" s="391"/>
      <c r="R3289" s="393"/>
    </row>
    <row r="3290" spans="1:18" ht="30" customHeight="1" x14ac:dyDescent="0.25">
      <c r="A3290" s="20"/>
      <c r="B3290" s="410"/>
      <c r="C3290" s="410"/>
      <c r="D3290" s="410"/>
      <c r="E3290" s="405"/>
      <c r="F3290" s="343"/>
      <c r="G3290" s="344" t="s">
        <v>535</v>
      </c>
      <c r="H3290" s="344"/>
      <c r="I3290" s="344"/>
      <c r="J3290" s="344"/>
      <c r="K3290" s="340">
        <v>1.02</v>
      </c>
      <c r="L3290" s="10"/>
      <c r="M3290" s="419"/>
      <c r="N3290" s="420"/>
      <c r="O3290"/>
      <c r="P3290" s="412"/>
      <c r="Q3290" s="391"/>
      <c r="R3290" s="393"/>
    </row>
    <row r="3291" spans="1:18" ht="30" customHeight="1" x14ac:dyDescent="0.25">
      <c r="A3291" s="20"/>
      <c r="B3291" s="20"/>
      <c r="C3291" s="18"/>
      <c r="D3291" s="18"/>
      <c r="E3291" s="18"/>
      <c r="F3291" s="18"/>
      <c r="G3291" s="18"/>
      <c r="H3291" s="18"/>
      <c r="I3291" s="18"/>
      <c r="J3291" s="20" t="s">
        <v>358</v>
      </c>
      <c r="K3291" s="23">
        <f>+K3288*K3289/K3290</f>
        <v>79.583033333333333</v>
      </c>
      <c r="L3291" s="20" t="s">
        <v>9</v>
      </c>
      <c r="M3291" s="419"/>
      <c r="N3291" s="420"/>
      <c r="O3291"/>
      <c r="P3291" s="412"/>
      <c r="Q3291" s="391"/>
      <c r="R3291" s="393"/>
    </row>
    <row r="3292" spans="1:18" ht="30" customHeight="1" thickBot="1" x14ac:dyDescent="0.3">
      <c r="A3292" s="20"/>
      <c r="B3292" s="20"/>
      <c r="C3292" s="18"/>
      <c r="D3292" s="18"/>
      <c r="E3292" s="18"/>
      <c r="F3292" s="18"/>
      <c r="G3292" s="413" t="s">
        <v>537</v>
      </c>
      <c r="H3292" s="18"/>
      <c r="I3292" s="18"/>
      <c r="J3292" s="361">
        <f>VLOOKUP(B3286,'Mil Cost Premiums for RUCs'!$A$4:$R$265,18,FALSE)</f>
        <v>1.1080418597902797</v>
      </c>
      <c r="K3292" s="23">
        <f>+K3291*J3292</f>
        <v>88.181332262418493</v>
      </c>
      <c r="L3292" s="20" t="s">
        <v>9</v>
      </c>
      <c r="M3292" s="419"/>
      <c r="N3292" s="420"/>
      <c r="O3292"/>
      <c r="P3292" s="412"/>
      <c r="Q3292" s="391"/>
      <c r="R3292" s="393"/>
    </row>
    <row r="3293" spans="1:18" ht="30" customHeight="1" thickBot="1" x14ac:dyDescent="0.3">
      <c r="A3293" s="76"/>
      <c r="B3293" s="77"/>
      <c r="C3293" s="77"/>
      <c r="D3293" s="77"/>
      <c r="E3293" s="77"/>
      <c r="F3293" s="77"/>
      <c r="G3293" s="77"/>
      <c r="H3293" s="77"/>
      <c r="I3293" s="77"/>
      <c r="J3293" s="77"/>
      <c r="K3293" s="77"/>
      <c r="L3293" s="78"/>
      <c r="M3293" s="419"/>
      <c r="N3293" s="420"/>
      <c r="O3293"/>
      <c r="P3293" s="412"/>
      <c r="Q3293" s="391"/>
      <c r="R3293" s="393"/>
    </row>
    <row r="3294" spans="1:18" ht="30" customHeight="1" x14ac:dyDescent="0.25">
      <c r="A3294" s="417" t="s">
        <v>288</v>
      </c>
      <c r="B3294" s="418">
        <v>7349</v>
      </c>
      <c r="C3294" s="1377" t="s">
        <v>2191</v>
      </c>
      <c r="D3294" s="1378"/>
      <c r="E3294" s="540" t="s">
        <v>291</v>
      </c>
      <c r="F3294" s="541" t="s">
        <v>9</v>
      </c>
      <c r="G3294" s="123" t="s">
        <v>375</v>
      </c>
      <c r="H3294" s="600">
        <v>60978</v>
      </c>
      <c r="I3294" s="540" t="s">
        <v>292</v>
      </c>
      <c r="J3294" s="38" t="s">
        <v>883</v>
      </c>
      <c r="K3294" s="38"/>
      <c r="L3294" s="389"/>
      <c r="M3294" s="670"/>
      <c r="N3294" s="420"/>
      <c r="O3294"/>
      <c r="P3294" s="412"/>
      <c r="Q3294" s="391"/>
      <c r="R3294" s="393"/>
    </row>
    <row r="3295" spans="1:18" ht="30" customHeight="1" x14ac:dyDescent="0.25">
      <c r="A3295" s="421" t="s">
        <v>529</v>
      </c>
      <c r="B3295" s="543" t="s">
        <v>560</v>
      </c>
      <c r="C3295" s="544"/>
      <c r="D3295" s="545"/>
      <c r="E3295" s="546" t="s">
        <v>519</v>
      </c>
      <c r="F3295" s="546" t="s">
        <v>561</v>
      </c>
      <c r="G3295" s="547" t="s">
        <v>562</v>
      </c>
      <c r="H3295" s="548"/>
      <c r="I3295" s="424" t="s">
        <v>530</v>
      </c>
      <c r="J3295" s="424"/>
      <c r="K3295" s="288" t="s">
        <v>521</v>
      </c>
      <c r="L3295" s="289"/>
      <c r="M3295" s="670"/>
      <c r="N3295" s="420"/>
      <c r="O3295"/>
      <c r="P3295" s="412"/>
      <c r="Q3295" s="391"/>
      <c r="R3295" s="393"/>
    </row>
    <row r="3296" spans="1:18" ht="30" customHeight="1" x14ac:dyDescent="0.25">
      <c r="A3296" s="1345" t="s">
        <v>2192</v>
      </c>
      <c r="B3296" s="323" t="s">
        <v>2193</v>
      </c>
      <c r="C3296" s="324"/>
      <c r="D3296" s="325"/>
      <c r="E3296" s="326">
        <v>83.33</v>
      </c>
      <c r="F3296" s="5" t="s">
        <v>9</v>
      </c>
      <c r="G3296" s="1369">
        <f>+E3296</f>
        <v>83.33</v>
      </c>
      <c r="H3296" s="698" t="s">
        <v>2087</v>
      </c>
      <c r="I3296" s="10">
        <v>1.06</v>
      </c>
      <c r="J3296" s="10"/>
      <c r="K3296" s="326">
        <f t="shared" ref="K3296:K3304" si="56">+G3296*I3296</f>
        <v>88.329800000000006</v>
      </c>
      <c r="L3296" s="10" t="s">
        <v>9</v>
      </c>
      <c r="M3296" s="419"/>
      <c r="N3296" s="671"/>
      <c r="O3296"/>
      <c r="P3296" s="412"/>
      <c r="Q3296" s="391"/>
      <c r="R3296" s="393"/>
    </row>
    <row r="3297" spans="1:18" ht="30" customHeight="1" x14ac:dyDescent="0.25">
      <c r="A3297" s="1345" t="s">
        <v>2144</v>
      </c>
      <c r="B3297" s="323" t="s">
        <v>2194</v>
      </c>
      <c r="C3297" s="324"/>
      <c r="D3297" s="325"/>
      <c r="E3297" s="326">
        <v>52250</v>
      </c>
      <c r="F3297" s="5" t="s">
        <v>11</v>
      </c>
      <c r="G3297" s="1369">
        <f>E3297/H3294</f>
        <v>0.85686641083669524</v>
      </c>
      <c r="H3297" s="698" t="s">
        <v>2087</v>
      </c>
      <c r="I3297" s="10">
        <v>1.06</v>
      </c>
      <c r="J3297" s="10"/>
      <c r="K3297" s="326">
        <f>G3297*I3297</f>
        <v>0.90827839548689704</v>
      </c>
      <c r="L3297" s="10" t="s">
        <v>9</v>
      </c>
      <c r="M3297" s="419"/>
      <c r="N3297" s="671"/>
      <c r="O3297"/>
      <c r="P3297" s="412"/>
      <c r="Q3297" s="391"/>
      <c r="R3297" s="393"/>
    </row>
    <row r="3298" spans="1:18" ht="30" customHeight="1" x14ac:dyDescent="0.25">
      <c r="A3298" s="1345" t="s">
        <v>664</v>
      </c>
      <c r="B3298" s="323" t="s">
        <v>2195</v>
      </c>
      <c r="C3298" s="324"/>
      <c r="D3298" s="325"/>
      <c r="E3298" s="326">
        <f>(19.15+29.75)/2</f>
        <v>24.45</v>
      </c>
      <c r="F3298" s="5" t="s">
        <v>9</v>
      </c>
      <c r="G3298" s="1366">
        <f>8*81*E3298/H3294</f>
        <v>0.25982485486568929</v>
      </c>
      <c r="H3298" s="698" t="s">
        <v>2087</v>
      </c>
      <c r="I3298" s="10">
        <v>1.02</v>
      </c>
      <c r="J3298" s="10"/>
      <c r="K3298" s="326">
        <f t="shared" si="56"/>
        <v>0.26502135196300308</v>
      </c>
      <c r="L3298" s="10" t="s">
        <v>9</v>
      </c>
      <c r="M3298" s="419"/>
      <c r="N3298" s="420"/>
      <c r="O3298"/>
      <c r="P3298" s="412"/>
      <c r="Q3298" s="391"/>
      <c r="R3298" s="393"/>
    </row>
    <row r="3299" spans="1:18" ht="30" customHeight="1" x14ac:dyDescent="0.25">
      <c r="A3299" s="1345" t="s">
        <v>664</v>
      </c>
      <c r="B3299" s="323" t="s">
        <v>2196</v>
      </c>
      <c r="C3299" s="324"/>
      <c r="D3299" s="325"/>
      <c r="E3299" s="326">
        <f>(1610+2280)/2</f>
        <v>1945</v>
      </c>
      <c r="F3299" s="5" t="s">
        <v>11</v>
      </c>
      <c r="G3299" s="1366">
        <f>8*E3299/H3294</f>
        <v>0.25517399717931055</v>
      </c>
      <c r="H3299" s="698" t="s">
        <v>2087</v>
      </c>
      <c r="I3299" s="10">
        <v>1.02</v>
      </c>
      <c r="J3299" s="10"/>
      <c r="K3299" s="326">
        <f t="shared" si="56"/>
        <v>0.26027747712289678</v>
      </c>
      <c r="L3299" s="10" t="s">
        <v>9</v>
      </c>
      <c r="M3299" s="419"/>
      <c r="N3299" s="420"/>
      <c r="O3299"/>
      <c r="P3299" s="412"/>
      <c r="Q3299" s="391"/>
      <c r="R3299" s="393"/>
    </row>
    <row r="3300" spans="1:18" ht="30" customHeight="1" x14ac:dyDescent="0.25">
      <c r="A3300" s="1345" t="s">
        <v>668</v>
      </c>
      <c r="B3300" s="323" t="s">
        <v>2197</v>
      </c>
      <c r="C3300" s="324"/>
      <c r="D3300" s="325"/>
      <c r="E3300" s="326">
        <f>(31.5+75)/2</f>
        <v>53.25</v>
      </c>
      <c r="F3300" s="5" t="s">
        <v>7</v>
      </c>
      <c r="G3300" s="1366">
        <f>+E3300*10*8/H3294</f>
        <v>6.9861261438551606E-2</v>
      </c>
      <c r="H3300" s="698" t="s">
        <v>2087</v>
      </c>
      <c r="I3300" s="10">
        <v>1.04</v>
      </c>
      <c r="J3300" s="10"/>
      <c r="K3300" s="326">
        <f t="shared" si="56"/>
        <v>7.2655711896093669E-2</v>
      </c>
      <c r="L3300" s="10" t="s">
        <v>9</v>
      </c>
      <c r="M3300" s="419"/>
      <c r="N3300" s="420"/>
      <c r="O3300"/>
      <c r="P3300" s="412"/>
      <c r="Q3300" s="391"/>
      <c r="R3300" s="393"/>
    </row>
    <row r="3301" spans="1:18" ht="30" customHeight="1" x14ac:dyDescent="0.25">
      <c r="A3301" s="1345" t="s">
        <v>668</v>
      </c>
      <c r="B3301" s="323" t="s">
        <v>671</v>
      </c>
      <c r="C3301" s="324"/>
      <c r="D3301" s="325"/>
      <c r="E3301" s="326">
        <f>(5900+11300)/2</f>
        <v>8600</v>
      </c>
      <c r="F3301" s="5" t="s">
        <v>11</v>
      </c>
      <c r="G3301" s="1366">
        <f>+E3301*8/H3294</f>
        <v>1.1282757715897538</v>
      </c>
      <c r="H3301" s="698" t="s">
        <v>2087</v>
      </c>
      <c r="I3301" s="10">
        <v>1.04</v>
      </c>
      <c r="J3301" s="10"/>
      <c r="K3301" s="326">
        <f t="shared" si="56"/>
        <v>1.1734068024533439</v>
      </c>
      <c r="L3301" s="10" t="s">
        <v>9</v>
      </c>
      <c r="M3301" s="419"/>
      <c r="N3301" s="420"/>
      <c r="O3301"/>
      <c r="P3301" s="412"/>
      <c r="Q3301" s="391"/>
      <c r="R3301" s="393"/>
    </row>
    <row r="3302" spans="1:18" ht="30" customHeight="1" x14ac:dyDescent="0.25">
      <c r="A3302" s="1345" t="s">
        <v>668</v>
      </c>
      <c r="B3302" s="323" t="s">
        <v>1360</v>
      </c>
      <c r="C3302" s="324"/>
      <c r="D3302" s="325"/>
      <c r="E3302" s="326">
        <f>+(605+925)/2</f>
        <v>765</v>
      </c>
      <c r="F3302" s="5" t="s">
        <v>11</v>
      </c>
      <c r="G3302" s="1366">
        <f>+E3302*8/H3294</f>
        <v>0.10036406572862344</v>
      </c>
      <c r="H3302" s="698" t="s">
        <v>2087</v>
      </c>
      <c r="I3302" s="10">
        <v>1.04</v>
      </c>
      <c r="J3302" s="10"/>
      <c r="K3302" s="326">
        <f t="shared" si="56"/>
        <v>0.10437862835776839</v>
      </c>
      <c r="L3302" s="10" t="s">
        <v>9</v>
      </c>
      <c r="M3302" s="419"/>
      <c r="N3302" s="420"/>
      <c r="O3302"/>
      <c r="P3302" s="412"/>
      <c r="Q3302" s="391"/>
      <c r="R3302" s="393"/>
    </row>
    <row r="3303" spans="1:18" s="49" customFormat="1" ht="30" customHeight="1" x14ac:dyDescent="0.25">
      <c r="A3303" s="1345" t="s">
        <v>668</v>
      </c>
      <c r="B3303" s="323" t="s">
        <v>673</v>
      </c>
      <c r="C3303" s="324"/>
      <c r="D3303" s="325"/>
      <c r="E3303" s="326">
        <f>(1060+3175)/2</f>
        <v>2117.5</v>
      </c>
      <c r="F3303" s="5" t="s">
        <v>11</v>
      </c>
      <c r="G3303" s="1366">
        <f>+E3303*8/H3294</f>
        <v>0.27780511003968644</v>
      </c>
      <c r="H3303" s="698" t="s">
        <v>2087</v>
      </c>
      <c r="I3303" s="10">
        <v>1.04</v>
      </c>
      <c r="J3303" s="10"/>
      <c r="K3303" s="326">
        <f t="shared" si="56"/>
        <v>0.28891731444127389</v>
      </c>
      <c r="L3303" s="10" t="s">
        <v>9</v>
      </c>
      <c r="M3303" s="419"/>
      <c r="N3303" s="420"/>
      <c r="P3303" s="412"/>
      <c r="Q3303" s="391"/>
      <c r="R3303" s="393"/>
    </row>
    <row r="3304" spans="1:18" ht="30" customHeight="1" x14ac:dyDescent="0.25">
      <c r="A3304" s="1345" t="s">
        <v>1915</v>
      </c>
      <c r="B3304" s="323" t="s">
        <v>2198</v>
      </c>
      <c r="C3304" s="324"/>
      <c r="D3304" s="325"/>
      <c r="E3304" s="326">
        <v>2.59</v>
      </c>
      <c r="F3304" s="5" t="s">
        <v>9</v>
      </c>
      <c r="G3304" s="1366">
        <f>+E3304</f>
        <v>2.59</v>
      </c>
      <c r="H3304" s="698" t="s">
        <v>2087</v>
      </c>
      <c r="I3304" s="10">
        <v>1.06</v>
      </c>
      <c r="J3304" s="10"/>
      <c r="K3304" s="326">
        <f t="shared" si="56"/>
        <v>2.7454000000000001</v>
      </c>
      <c r="L3304" s="10" t="s">
        <v>9</v>
      </c>
      <c r="M3304" s="419"/>
      <c r="N3304" s="420"/>
      <c r="O3304"/>
      <c r="P3304" s="412"/>
      <c r="Q3304" s="391"/>
      <c r="R3304" s="393"/>
    </row>
    <row r="3305" spans="1:18" ht="30" customHeight="1" x14ac:dyDescent="0.25">
      <c r="A3305" s="1345"/>
      <c r="B3305" s="323"/>
      <c r="C3305" s="324"/>
      <c r="D3305" s="325"/>
      <c r="E3305" s="326"/>
      <c r="F3305" s="5"/>
      <c r="G3305" s="697"/>
      <c r="H3305" s="698"/>
      <c r="I3305" s="10"/>
      <c r="J3305" s="20" t="s">
        <v>578</v>
      </c>
      <c r="K3305" s="405">
        <f>SUM(K3296:K3304)</f>
        <v>94.148135681721286</v>
      </c>
      <c r="L3305" s="10"/>
      <c r="M3305" s="419"/>
      <c r="N3305" s="420"/>
      <c r="O3305"/>
      <c r="P3305" s="412"/>
      <c r="Q3305" s="391"/>
      <c r="R3305" s="393"/>
    </row>
    <row r="3306" spans="1:18" ht="30" customHeight="1" x14ac:dyDescent="0.25">
      <c r="A3306" s="20"/>
      <c r="B3306" s="410"/>
      <c r="C3306" s="410"/>
      <c r="D3306" s="410"/>
      <c r="E3306" s="405"/>
      <c r="F3306" s="338" t="s">
        <v>533</v>
      </c>
      <c r="G3306" s="339" t="s">
        <v>534</v>
      </c>
      <c r="H3306" s="339"/>
      <c r="I3306" s="339"/>
      <c r="J3306" s="339"/>
      <c r="K3306" s="340">
        <v>1.07</v>
      </c>
      <c r="L3306" s="10"/>
      <c r="M3306" s="419"/>
      <c r="N3306" s="420"/>
      <c r="O3306"/>
      <c r="P3306" s="412"/>
      <c r="Q3306" s="391"/>
      <c r="R3306" s="393"/>
    </row>
    <row r="3307" spans="1:18" ht="30" customHeight="1" x14ac:dyDescent="0.25">
      <c r="A3307" s="20"/>
      <c r="B3307" s="410"/>
      <c r="C3307" s="410"/>
      <c r="D3307" s="410"/>
      <c r="E3307" s="405"/>
      <c r="F3307" s="343"/>
      <c r="G3307" s="344" t="s">
        <v>535</v>
      </c>
      <c r="H3307" s="344"/>
      <c r="I3307" s="344"/>
      <c r="J3307" s="344"/>
      <c r="K3307" s="340">
        <v>1.02</v>
      </c>
      <c r="L3307" s="10"/>
      <c r="M3307" s="419"/>
      <c r="N3307" s="420"/>
      <c r="O3307" s="43"/>
      <c r="P3307" s="672"/>
      <c r="Q3307" s="671"/>
      <c r="R3307" s="673"/>
    </row>
    <row r="3308" spans="1:18" ht="30" customHeight="1" x14ac:dyDescent="0.25">
      <c r="A3308" s="24"/>
      <c r="B3308" s="24"/>
      <c r="C3308" s="64"/>
      <c r="D3308" s="64"/>
      <c r="E3308" s="64"/>
      <c r="F3308" s="64"/>
      <c r="G3308" s="64"/>
      <c r="H3308" s="64"/>
      <c r="I3308" s="64"/>
      <c r="J3308" s="24" t="s">
        <v>358</v>
      </c>
      <c r="K3308" s="17">
        <f>+K3305*K3306/K3307</f>
        <v>98.763240372001746</v>
      </c>
      <c r="L3308" s="24" t="s">
        <v>9</v>
      </c>
      <c r="M3308" s="419"/>
      <c r="N3308" s="420"/>
      <c r="O3308" s="43"/>
      <c r="P3308" s="672"/>
      <c r="Q3308" s="671"/>
      <c r="R3308" s="673"/>
    </row>
    <row r="3309" spans="1:18" ht="30" customHeight="1" x14ac:dyDescent="0.25">
      <c r="A3309" s="64"/>
      <c r="B3309" s="64"/>
      <c r="C3309" s="64"/>
      <c r="D3309" s="64"/>
      <c r="E3309" s="64"/>
      <c r="F3309" s="64"/>
      <c r="G3309" s="445" t="s">
        <v>537</v>
      </c>
      <c r="H3309" s="64"/>
      <c r="I3309" s="64"/>
      <c r="J3309" s="447">
        <f>VLOOKUP(B3294,'Mil Cost Premiums for RUCs'!$A$4:$R$265,18,FALSE)</f>
        <v>1.2981950150858137</v>
      </c>
      <c r="K3309" s="17">
        <f>+K3308*J3309</f>
        <v>128.21394632465464</v>
      </c>
      <c r="L3309" s="10" t="s">
        <v>9</v>
      </c>
      <c r="M3309" s="419"/>
      <c r="N3309" s="420"/>
      <c r="O3309"/>
      <c r="P3309" s="412"/>
      <c r="Q3309" s="391"/>
      <c r="R3309" s="393"/>
    </row>
    <row r="3310" spans="1:18" ht="75" customHeight="1" x14ac:dyDescent="0.25">
      <c r="A3310" s="580" t="s">
        <v>538</v>
      </c>
      <c r="B3310" s="532"/>
      <c r="C3310" s="532"/>
      <c r="D3310" s="532"/>
      <c r="E3310" s="532"/>
      <c r="F3310" s="532"/>
      <c r="G3310" s="532"/>
      <c r="H3310" s="532"/>
      <c r="I3310" s="532"/>
      <c r="J3310" s="532"/>
      <c r="K3310" s="532"/>
      <c r="L3310" s="533"/>
      <c r="M3310" s="425"/>
      <c r="N3310" s="420"/>
      <c r="O3310"/>
      <c r="P3310" s="412"/>
      <c r="Q3310" s="391"/>
      <c r="R3310" s="393"/>
    </row>
    <row r="3311" spans="1:18" ht="60" customHeight="1" x14ac:dyDescent="0.25">
      <c r="A3311" s="217" t="s">
        <v>539</v>
      </c>
      <c r="B3311" s="218"/>
      <c r="C3311" s="219"/>
      <c r="D3311" s="386" t="s">
        <v>2199</v>
      </c>
      <c r="E3311" s="849"/>
      <c r="F3311" s="849"/>
      <c r="G3311" s="849"/>
      <c r="H3311" s="849"/>
      <c r="I3311" s="849"/>
      <c r="J3311" s="849"/>
      <c r="K3311" s="849"/>
      <c r="L3311" s="850"/>
      <c r="M3311" s="419"/>
      <c r="N3311" s="420"/>
      <c r="O3311"/>
      <c r="P3311" s="412"/>
      <c r="Q3311" s="391"/>
      <c r="R3311" s="393"/>
    </row>
    <row r="3312" spans="1:18" ht="30" customHeight="1" x14ac:dyDescent="0.25">
      <c r="A3312" s="217" t="s">
        <v>541</v>
      </c>
      <c r="B3312" s="218"/>
      <c r="C3312" s="219"/>
      <c r="D3312" s="386" t="s">
        <v>2151</v>
      </c>
      <c r="E3312" s="849"/>
      <c r="F3312" s="849"/>
      <c r="G3312" s="849"/>
      <c r="H3312" s="849"/>
      <c r="I3312" s="849"/>
      <c r="J3312" s="849"/>
      <c r="K3312" s="849"/>
      <c r="L3312" s="850"/>
      <c r="M3312" s="419"/>
      <c r="N3312" s="420"/>
      <c r="O3312"/>
      <c r="P3312" s="412"/>
      <c r="Q3312" s="391"/>
      <c r="R3312" s="393"/>
    </row>
    <row r="3313" spans="1:18" s="49" customFormat="1" ht="30" customHeight="1" x14ac:dyDescent="0.25">
      <c r="A3313" s="217" t="s">
        <v>543</v>
      </c>
      <c r="B3313" s="218"/>
      <c r="C3313" s="219"/>
      <c r="D3313" s="1353" t="s">
        <v>2200</v>
      </c>
      <c r="E3313" s="1354"/>
      <c r="F3313" s="1354"/>
      <c r="G3313" s="1354"/>
      <c r="H3313" s="1354"/>
      <c r="I3313" s="1354"/>
      <c r="J3313" s="1354"/>
      <c r="K3313" s="1354"/>
      <c r="L3313" s="1355"/>
      <c r="M3313" s="419"/>
      <c r="N3313" s="420"/>
      <c r="P3313" s="412"/>
      <c r="Q3313" s="391"/>
      <c r="R3313" s="393"/>
    </row>
    <row r="3314" spans="1:18" s="49" customFormat="1" ht="30" customHeight="1" x14ac:dyDescent="0.25">
      <c r="A3314" s="217" t="s">
        <v>546</v>
      </c>
      <c r="B3314" s="218"/>
      <c r="C3314" s="219"/>
      <c r="D3314" s="386" t="s">
        <v>2201</v>
      </c>
      <c r="E3314" s="849"/>
      <c r="F3314" s="849"/>
      <c r="G3314" s="849"/>
      <c r="H3314" s="849"/>
      <c r="I3314" s="849"/>
      <c r="J3314" s="849"/>
      <c r="K3314" s="849"/>
      <c r="L3314" s="850"/>
      <c r="M3314" s="670"/>
      <c r="N3314" s="420"/>
      <c r="P3314" s="412"/>
      <c r="Q3314" s="391"/>
      <c r="R3314" s="393"/>
    </row>
    <row r="3315" spans="1:18" ht="60" customHeight="1" x14ac:dyDescent="0.25">
      <c r="A3315" s="217" t="s">
        <v>548</v>
      </c>
      <c r="B3315" s="218"/>
      <c r="C3315" s="219"/>
      <c r="D3315" s="386" t="s">
        <v>2202</v>
      </c>
      <c r="E3315" s="849"/>
      <c r="F3315" s="849"/>
      <c r="G3315" s="849"/>
      <c r="H3315" s="849"/>
      <c r="I3315" s="849"/>
      <c r="J3315" s="849"/>
      <c r="K3315" s="849"/>
      <c r="L3315" s="850"/>
      <c r="M3315" s="670"/>
      <c r="N3315" s="420"/>
      <c r="O3315"/>
      <c r="P3315" s="412"/>
      <c r="Q3315" s="391"/>
      <c r="R3315" s="393"/>
    </row>
    <row r="3316" spans="1:18" ht="30" customHeight="1" x14ac:dyDescent="0.25">
      <c r="A3316" s="217" t="s">
        <v>550</v>
      </c>
      <c r="B3316" s="218"/>
      <c r="C3316" s="219"/>
      <c r="D3316" s="386" t="s">
        <v>2048</v>
      </c>
      <c r="E3316" s="849"/>
      <c r="F3316" s="849"/>
      <c r="G3316" s="849"/>
      <c r="H3316" s="849"/>
      <c r="I3316" s="849"/>
      <c r="J3316" s="849"/>
      <c r="K3316" s="849"/>
      <c r="L3316" s="850"/>
      <c r="M3316" s="419"/>
      <c r="N3316" s="671"/>
      <c r="O3316" s="43"/>
      <c r="P3316" s="672"/>
      <c r="Q3316" s="671"/>
      <c r="R3316" s="673"/>
    </row>
    <row r="3317" spans="1:18" ht="30" customHeight="1" x14ac:dyDescent="0.25">
      <c r="A3317" s="217" t="s">
        <v>552</v>
      </c>
      <c r="B3317" s="218"/>
      <c r="C3317" s="219"/>
      <c r="D3317" s="386" t="s">
        <v>2182</v>
      </c>
      <c r="E3317" s="849"/>
      <c r="F3317" s="849"/>
      <c r="G3317" s="849"/>
      <c r="H3317" s="849"/>
      <c r="I3317" s="849"/>
      <c r="J3317" s="849"/>
      <c r="K3317" s="849"/>
      <c r="L3317" s="850"/>
      <c r="M3317" s="419"/>
      <c r="N3317" s="671"/>
      <c r="O3317" s="43"/>
      <c r="P3317" s="672"/>
      <c r="Q3317" s="671"/>
      <c r="R3317" s="673"/>
    </row>
    <row r="3318" spans="1:18" ht="75" customHeight="1" x14ac:dyDescent="0.25">
      <c r="A3318" s="217" t="s">
        <v>553</v>
      </c>
      <c r="B3318" s="218"/>
      <c r="C3318" s="219"/>
      <c r="D3318" s="386" t="s">
        <v>660</v>
      </c>
      <c r="E3318" s="849"/>
      <c r="F3318" s="849"/>
      <c r="G3318" s="849"/>
      <c r="H3318" s="849"/>
      <c r="I3318" s="849"/>
      <c r="J3318" s="849"/>
      <c r="K3318" s="849"/>
      <c r="L3318" s="850"/>
      <c r="M3318" s="419"/>
      <c r="N3318" s="420"/>
      <c r="O3318"/>
      <c r="P3318" s="412"/>
      <c r="Q3318" s="391"/>
      <c r="R3318" s="393"/>
    </row>
    <row r="3319" spans="1:18" ht="34.5" customHeight="1" thickBot="1" x14ac:dyDescent="0.3">
      <c r="A3319" s="217" t="s">
        <v>556</v>
      </c>
      <c r="B3319" s="218"/>
      <c r="C3319" s="219"/>
      <c r="D3319" s="386" t="s">
        <v>2203</v>
      </c>
      <c r="E3319" s="849"/>
      <c r="F3319" s="849"/>
      <c r="G3319" s="849"/>
      <c r="H3319" s="849"/>
      <c r="I3319" s="849"/>
      <c r="J3319" s="849"/>
      <c r="K3319" s="849"/>
      <c r="L3319" s="850"/>
      <c r="M3319" s="419"/>
      <c r="N3319" s="420"/>
      <c r="O3319"/>
      <c r="P3319" s="412"/>
      <c r="Q3319" s="391"/>
      <c r="R3319" s="393"/>
    </row>
    <row r="3320" spans="1:18" ht="30" customHeight="1" thickBot="1" x14ac:dyDescent="0.3">
      <c r="A3320" s="76"/>
      <c r="B3320" s="77"/>
      <c r="C3320" s="77"/>
      <c r="D3320" s="77"/>
      <c r="E3320" s="77"/>
      <c r="F3320" s="77"/>
      <c r="G3320" s="77"/>
      <c r="H3320" s="77"/>
      <c r="I3320" s="77"/>
      <c r="J3320" s="77"/>
      <c r="K3320" s="77"/>
      <c r="L3320" s="78"/>
      <c r="M3320" s="425"/>
      <c r="N3320" s="420"/>
      <c r="O3320"/>
      <c r="P3320" s="412"/>
      <c r="Q3320" s="391"/>
      <c r="R3320" s="393"/>
    </row>
    <row r="3321" spans="1:18" ht="30" customHeight="1" x14ac:dyDescent="0.25">
      <c r="A3321" s="1379" t="s">
        <v>288</v>
      </c>
      <c r="B3321" s="1380">
        <v>7351</v>
      </c>
      <c r="C3321" s="1381" t="s">
        <v>2204</v>
      </c>
      <c r="D3321" s="1382"/>
      <c r="E3321" s="1383" t="s">
        <v>291</v>
      </c>
      <c r="F3321" s="1384" t="s">
        <v>9</v>
      </c>
      <c r="G3321" s="123" t="s">
        <v>375</v>
      </c>
      <c r="H3321" s="1385">
        <v>13452</v>
      </c>
      <c r="I3321" s="540" t="s">
        <v>292</v>
      </c>
      <c r="J3321" s="38" t="s">
        <v>883</v>
      </c>
      <c r="K3321" s="38"/>
      <c r="L3321" s="389"/>
      <c r="M3321" s="425"/>
      <c r="N3321" s="420"/>
      <c r="O3321"/>
      <c r="P3321" s="412"/>
      <c r="Q3321" s="391"/>
      <c r="R3321" s="393"/>
    </row>
    <row r="3322" spans="1:18" s="49" customFormat="1" ht="30" customHeight="1" x14ac:dyDescent="0.25">
      <c r="A3322" s="1386" t="s">
        <v>529</v>
      </c>
      <c r="B3322" s="1387" t="s">
        <v>560</v>
      </c>
      <c r="C3322" s="1388"/>
      <c r="D3322" s="1389"/>
      <c r="E3322" s="1390" t="s">
        <v>519</v>
      </c>
      <c r="F3322" s="1390" t="s">
        <v>561</v>
      </c>
      <c r="G3322" s="1391" t="s">
        <v>562</v>
      </c>
      <c r="H3322" s="1392"/>
      <c r="I3322" s="1393" t="s">
        <v>2205</v>
      </c>
      <c r="J3322" s="1393"/>
      <c r="K3322" s="288" t="s">
        <v>521</v>
      </c>
      <c r="L3322" s="289"/>
      <c r="M3322" s="419"/>
      <c r="N3322" s="420"/>
      <c r="P3322" s="412"/>
      <c r="Q3322" s="391"/>
      <c r="R3322" s="393"/>
    </row>
    <row r="3323" spans="1:18" ht="30" customHeight="1" x14ac:dyDescent="0.25">
      <c r="A3323" s="1394" t="s">
        <v>2206</v>
      </c>
      <c r="B3323" s="1395" t="s">
        <v>2207</v>
      </c>
      <c r="C3323" s="1396"/>
      <c r="D3323" s="1397"/>
      <c r="E3323" s="1398">
        <v>119</v>
      </c>
      <c r="F3323" s="1399" t="s">
        <v>9</v>
      </c>
      <c r="G3323" s="1400"/>
      <c r="H3323" s="1401"/>
      <c r="I3323" s="1402">
        <v>1.04</v>
      </c>
      <c r="J3323" s="1402"/>
      <c r="K3323" s="1398">
        <f>+E3323*I3323</f>
        <v>123.76</v>
      </c>
      <c r="L3323" s="1402" t="s">
        <v>9</v>
      </c>
      <c r="M3323" s="670"/>
      <c r="N3323" s="420"/>
      <c r="O3323"/>
      <c r="P3323" s="412"/>
      <c r="Q3323" s="391"/>
      <c r="R3323" s="393"/>
    </row>
    <row r="3324" spans="1:18" ht="30" customHeight="1" x14ac:dyDescent="0.25">
      <c r="A3324" s="1403" t="s">
        <v>888</v>
      </c>
      <c r="B3324" s="1395" t="s">
        <v>2208</v>
      </c>
      <c r="C3324" s="1396"/>
      <c r="D3324" s="1397"/>
      <c r="E3324" s="1398">
        <v>3.72</v>
      </c>
      <c r="F3324" s="1402" t="s">
        <v>9</v>
      </c>
      <c r="G3324" s="1404">
        <v>0.29299999999999998</v>
      </c>
      <c r="H3324" s="1402" t="s">
        <v>2209</v>
      </c>
      <c r="I3324" s="1402">
        <v>1.04</v>
      </c>
      <c r="J3324" s="1402"/>
      <c r="K3324" s="1398">
        <f>+E3324*G3324*I3324</f>
        <v>1.1335584000000001</v>
      </c>
      <c r="L3324" s="1402" t="s">
        <v>9</v>
      </c>
      <c r="M3324" s="670"/>
      <c r="N3324" s="420"/>
      <c r="O3324"/>
      <c r="P3324" s="412"/>
      <c r="Q3324" s="391"/>
      <c r="R3324" s="393"/>
    </row>
    <row r="3325" spans="1:18" ht="30" customHeight="1" x14ac:dyDescent="0.25">
      <c r="A3325" s="1403" t="s">
        <v>2210</v>
      </c>
      <c r="B3325" s="1405" t="s">
        <v>2211</v>
      </c>
      <c r="C3325" s="1406"/>
      <c r="D3325" s="1407"/>
      <c r="E3325" s="1398">
        <v>53750</v>
      </c>
      <c r="F3325" s="1402" t="s">
        <v>11</v>
      </c>
      <c r="G3325" s="1404">
        <f>+(E3325/H3321)*2</f>
        <v>7.9913767469521257</v>
      </c>
      <c r="H3325" s="1402" t="s">
        <v>2212</v>
      </c>
      <c r="I3325" s="1402">
        <v>1.04</v>
      </c>
      <c r="J3325" s="1402"/>
      <c r="K3325" s="1398">
        <f>+G3325*I3325</f>
        <v>8.3110318168302104</v>
      </c>
      <c r="L3325" s="1402" t="s">
        <v>9</v>
      </c>
      <c r="M3325" s="419"/>
      <c r="N3325" s="671"/>
      <c r="O3325"/>
      <c r="P3325" s="412"/>
      <c r="Q3325" s="391"/>
      <c r="R3325" s="393"/>
    </row>
    <row r="3326" spans="1:18" ht="30" customHeight="1" x14ac:dyDescent="0.25">
      <c r="A3326" s="1402"/>
      <c r="B3326" s="1395"/>
      <c r="C3326" s="1396"/>
      <c r="D3326" s="1397"/>
      <c r="E3326" s="1398"/>
      <c r="F3326" s="1402"/>
      <c r="G3326" s="1402"/>
      <c r="H3326" s="1402"/>
      <c r="I3326" s="1402"/>
      <c r="J3326" s="1402"/>
      <c r="K3326" s="1398">
        <f>SUM(K3323:K3325)</f>
        <v>133.20459021683021</v>
      </c>
      <c r="L3326" s="1402" t="s">
        <v>9</v>
      </c>
      <c r="M3326" s="419"/>
      <c r="N3326" s="671"/>
      <c r="O3326"/>
      <c r="P3326" s="412"/>
      <c r="Q3326" s="391"/>
      <c r="R3326" s="393"/>
    </row>
    <row r="3327" spans="1:18" ht="30" customHeight="1" x14ac:dyDescent="0.25">
      <c r="A3327" s="20"/>
      <c r="B3327" s="410"/>
      <c r="C3327" s="410"/>
      <c r="D3327" s="410"/>
      <c r="E3327" s="405"/>
      <c r="F3327" s="338" t="s">
        <v>533</v>
      </c>
      <c r="G3327" s="339" t="s">
        <v>534</v>
      </c>
      <c r="H3327" s="339"/>
      <c r="I3327" s="339"/>
      <c r="J3327" s="339"/>
      <c r="K3327" s="340">
        <v>1.07</v>
      </c>
      <c r="L3327" s="10"/>
      <c r="M3327" s="1922"/>
      <c r="N3327" s="420"/>
      <c r="O3327"/>
      <c r="P3327" s="412"/>
      <c r="Q3327" s="391"/>
      <c r="R3327" s="393"/>
    </row>
    <row r="3328" spans="1:18" ht="30" customHeight="1" x14ac:dyDescent="0.25">
      <c r="A3328" s="20"/>
      <c r="B3328" s="410"/>
      <c r="C3328" s="410"/>
      <c r="D3328" s="410"/>
      <c r="E3328" s="405"/>
      <c r="F3328" s="343"/>
      <c r="G3328" s="344" t="s">
        <v>535</v>
      </c>
      <c r="H3328" s="344"/>
      <c r="I3328" s="344"/>
      <c r="J3328" s="344"/>
      <c r="K3328" s="340">
        <v>1.02</v>
      </c>
      <c r="L3328" s="10"/>
      <c r="M3328" s="419"/>
      <c r="N3328" s="420"/>
      <c r="O3328"/>
      <c r="P3328" s="412"/>
      <c r="Q3328" s="391"/>
      <c r="R3328" s="393"/>
    </row>
    <row r="3329" spans="1:18" ht="30" customHeight="1" x14ac:dyDescent="0.25">
      <c r="A3329" s="1402"/>
      <c r="B3329" s="1402"/>
      <c r="C3329" s="1408"/>
      <c r="D3329" s="1408"/>
      <c r="E3329" s="1408"/>
      <c r="F3329" s="1408"/>
      <c r="G3329" s="1408"/>
      <c r="H3329" s="1408"/>
      <c r="I3329" s="1408"/>
      <c r="J3329" s="1408" t="s">
        <v>358</v>
      </c>
      <c r="K3329" s="1409">
        <f>+K3326*K3327/K3328</f>
        <v>139.73422699216502</v>
      </c>
      <c r="L3329" s="1402" t="s">
        <v>9</v>
      </c>
      <c r="M3329" s="425"/>
      <c r="N3329" s="420"/>
      <c r="O3329"/>
      <c r="P3329" s="412"/>
      <c r="Q3329" s="391"/>
      <c r="R3329" s="393"/>
    </row>
    <row r="3330" spans="1:18" ht="30" customHeight="1" x14ac:dyDescent="0.25">
      <c r="A3330" s="1402"/>
      <c r="B3330" s="1402"/>
      <c r="C3330" s="1408"/>
      <c r="D3330" s="1408"/>
      <c r="E3330" s="1408"/>
      <c r="F3330" s="1408"/>
      <c r="G3330" s="413" t="s">
        <v>537</v>
      </c>
      <c r="H3330" s="1408"/>
      <c r="I3330" s="1408"/>
      <c r="J3330" s="361">
        <f>VLOOKUP(B3321,'Mil Cost Premiums for RUCs'!$A$4:$R$265,18,FALSE)</f>
        <v>1.3319480854780448</v>
      </c>
      <c r="K3330" s="1409">
        <f>+K3329*J3330</f>
        <v>186.11873611796872</v>
      </c>
      <c r="L3330" s="1402" t="s">
        <v>9</v>
      </c>
      <c r="M3330" s="419"/>
      <c r="N3330" s="420"/>
      <c r="O3330"/>
      <c r="P3330" s="412"/>
      <c r="Q3330" s="391"/>
      <c r="R3330" s="393"/>
    </row>
    <row r="3331" spans="1:18" ht="75" customHeight="1" x14ac:dyDescent="0.25">
      <c r="A3331" s="580" t="s">
        <v>2213</v>
      </c>
      <c r="B3331" s="532"/>
      <c r="C3331" s="532"/>
      <c r="D3331" s="532"/>
      <c r="E3331" s="532"/>
      <c r="F3331" s="532"/>
      <c r="G3331" s="532"/>
      <c r="H3331" s="532"/>
      <c r="I3331" s="532"/>
      <c r="J3331" s="532"/>
      <c r="K3331" s="532"/>
      <c r="L3331" s="533"/>
      <c r="M3331" s="419"/>
      <c r="N3331" s="420"/>
      <c r="O3331"/>
      <c r="P3331" s="412"/>
      <c r="Q3331" s="391"/>
      <c r="R3331" s="393"/>
    </row>
    <row r="3332" spans="1:18" ht="30" customHeight="1" x14ac:dyDescent="0.25">
      <c r="A3332" s="217" t="s">
        <v>539</v>
      </c>
      <c r="B3332" s="218"/>
      <c r="C3332" s="219"/>
      <c r="D3332" s="386" t="s">
        <v>2214</v>
      </c>
      <c r="E3332" s="849"/>
      <c r="F3332" s="849"/>
      <c r="G3332" s="849"/>
      <c r="H3332" s="849"/>
      <c r="I3332" s="849"/>
      <c r="J3332" s="849"/>
      <c r="K3332" s="849"/>
      <c r="L3332" s="850"/>
      <c r="M3332" s="419"/>
      <c r="N3332" s="420"/>
      <c r="O3332" s="43"/>
      <c r="P3332" s="672"/>
      <c r="Q3332" s="671"/>
      <c r="R3332" s="673"/>
    </row>
    <row r="3333" spans="1:18" ht="30" customHeight="1" x14ac:dyDescent="0.25">
      <c r="A3333" s="217" t="s">
        <v>541</v>
      </c>
      <c r="B3333" s="218"/>
      <c r="C3333" s="219"/>
      <c r="D3333" s="386" t="s">
        <v>2215</v>
      </c>
      <c r="E3333" s="849"/>
      <c r="F3333" s="849"/>
      <c r="G3333" s="849"/>
      <c r="H3333" s="849"/>
      <c r="I3333" s="849"/>
      <c r="J3333" s="849"/>
      <c r="K3333" s="849"/>
      <c r="L3333" s="850"/>
      <c r="M3333" s="419"/>
      <c r="N3333" s="420"/>
      <c r="O3333" s="43"/>
      <c r="P3333" s="672"/>
      <c r="Q3333" s="671"/>
      <c r="R3333" s="673"/>
    </row>
    <row r="3334" spans="1:18" ht="30" customHeight="1" x14ac:dyDescent="0.25">
      <c r="A3334" s="217" t="s">
        <v>543</v>
      </c>
      <c r="B3334" s="218"/>
      <c r="C3334" s="219"/>
      <c r="D3334" s="386" t="s">
        <v>2216</v>
      </c>
      <c r="E3334" s="849"/>
      <c r="F3334" s="849"/>
      <c r="G3334" s="849"/>
      <c r="H3334" s="849"/>
      <c r="I3334" s="849"/>
      <c r="J3334" s="849"/>
      <c r="K3334" s="849"/>
      <c r="L3334" s="850"/>
      <c r="M3334" s="419"/>
      <c r="N3334" s="420"/>
      <c r="O3334"/>
      <c r="P3334" s="412"/>
      <c r="Q3334" s="391"/>
      <c r="R3334" s="393"/>
    </row>
    <row r="3335" spans="1:18" ht="75" customHeight="1" x14ac:dyDescent="0.25">
      <c r="A3335" s="217" t="s">
        <v>546</v>
      </c>
      <c r="B3335" s="218"/>
      <c r="C3335" s="219"/>
      <c r="D3335" s="386" t="s">
        <v>2217</v>
      </c>
      <c r="E3335" s="849"/>
      <c r="F3335" s="849"/>
      <c r="G3335" s="849"/>
      <c r="H3335" s="849"/>
      <c r="I3335" s="849"/>
      <c r="J3335" s="849"/>
      <c r="K3335" s="849"/>
      <c r="L3335" s="850"/>
      <c r="M3335" s="419"/>
      <c r="N3335" s="420"/>
      <c r="O3335"/>
      <c r="P3335" s="412"/>
      <c r="Q3335" s="391"/>
      <c r="R3335" s="393"/>
    </row>
    <row r="3336" spans="1:18" ht="30" customHeight="1" x14ac:dyDescent="0.25">
      <c r="A3336" s="217" t="s">
        <v>548</v>
      </c>
      <c r="B3336" s="218"/>
      <c r="C3336" s="219"/>
      <c r="D3336" s="386" t="s">
        <v>2218</v>
      </c>
      <c r="E3336" s="849"/>
      <c r="F3336" s="849"/>
      <c r="G3336" s="849"/>
      <c r="H3336" s="849"/>
      <c r="I3336" s="849"/>
      <c r="J3336" s="849"/>
      <c r="K3336" s="849"/>
      <c r="L3336" s="850"/>
      <c r="M3336" s="419"/>
      <c r="N3336" s="420"/>
      <c r="O3336"/>
      <c r="P3336" s="412"/>
      <c r="Q3336" s="391"/>
      <c r="R3336" s="393"/>
    </row>
    <row r="3337" spans="1:18" ht="30" customHeight="1" x14ac:dyDescent="0.25">
      <c r="A3337" s="217" t="s">
        <v>550</v>
      </c>
      <c r="B3337" s="218"/>
      <c r="C3337" s="219"/>
      <c r="D3337" s="386" t="s">
        <v>551</v>
      </c>
      <c r="E3337" s="849"/>
      <c r="F3337" s="849"/>
      <c r="G3337" s="849"/>
      <c r="H3337" s="849"/>
      <c r="I3337" s="849"/>
      <c r="J3337" s="849"/>
      <c r="K3337" s="849"/>
      <c r="L3337" s="850"/>
      <c r="M3337" s="419"/>
      <c r="N3337" s="420"/>
      <c r="O3337"/>
      <c r="P3337" s="412"/>
      <c r="Q3337" s="391"/>
      <c r="R3337" s="393"/>
    </row>
    <row r="3338" spans="1:18" ht="30" customHeight="1" x14ac:dyDescent="0.25">
      <c r="A3338" s="217" t="s">
        <v>552</v>
      </c>
      <c r="B3338" s="218"/>
      <c r="C3338" s="219"/>
      <c r="D3338" s="386" t="s">
        <v>2030</v>
      </c>
      <c r="E3338" s="849"/>
      <c r="F3338" s="849"/>
      <c r="G3338" s="849"/>
      <c r="H3338" s="849"/>
      <c r="I3338" s="849"/>
      <c r="J3338" s="849"/>
      <c r="K3338" s="849"/>
      <c r="L3338" s="850"/>
      <c r="M3338" s="419"/>
      <c r="N3338" s="420"/>
      <c r="O3338"/>
      <c r="P3338" s="412"/>
      <c r="Q3338" s="391"/>
      <c r="R3338" s="393"/>
    </row>
    <row r="3339" spans="1:18" ht="30" customHeight="1" x14ac:dyDescent="0.25">
      <c r="A3339" s="217" t="s">
        <v>553</v>
      </c>
      <c r="B3339" s="218"/>
      <c r="C3339" s="219"/>
      <c r="D3339" s="386" t="s">
        <v>660</v>
      </c>
      <c r="E3339" s="849"/>
      <c r="F3339" s="849"/>
      <c r="G3339" s="849"/>
      <c r="H3339" s="849"/>
      <c r="I3339" s="849"/>
      <c r="J3339" s="849"/>
      <c r="K3339" s="849"/>
      <c r="L3339" s="850"/>
      <c r="M3339" s="674"/>
      <c r="N3339" s="420"/>
      <c r="O3339"/>
      <c r="P3339" s="412"/>
      <c r="Q3339" s="391"/>
      <c r="R3339" s="393"/>
    </row>
    <row r="3340" spans="1:18" ht="45" customHeight="1" thickBot="1" x14ac:dyDescent="0.3">
      <c r="A3340" s="217" t="s">
        <v>556</v>
      </c>
      <c r="B3340" s="218"/>
      <c r="C3340" s="219"/>
      <c r="D3340" s="386" t="s">
        <v>2219</v>
      </c>
      <c r="E3340" s="849"/>
      <c r="F3340" s="849"/>
      <c r="G3340" s="849"/>
      <c r="H3340" s="849"/>
      <c r="I3340" s="849"/>
      <c r="J3340" s="849"/>
      <c r="K3340" s="849"/>
      <c r="L3340" s="850"/>
      <c r="M3340" s="674"/>
      <c r="N3340" s="420"/>
      <c r="O3340"/>
      <c r="P3340" s="412"/>
      <c r="Q3340" s="391"/>
      <c r="R3340" s="393"/>
    </row>
    <row r="3341" spans="1:18" ht="30" customHeight="1" thickBot="1" x14ac:dyDescent="0.3">
      <c r="A3341" s="76"/>
      <c r="B3341" s="77"/>
      <c r="C3341" s="77"/>
      <c r="D3341" s="77"/>
      <c r="E3341" s="77"/>
      <c r="F3341" s="77"/>
      <c r="G3341" s="77"/>
      <c r="H3341" s="77"/>
      <c r="I3341" s="77"/>
      <c r="J3341" s="77"/>
      <c r="K3341" s="77"/>
      <c r="L3341" s="78"/>
      <c r="M3341" s="419"/>
      <c r="N3341" s="671"/>
      <c r="O3341"/>
      <c r="P3341" s="412"/>
      <c r="Q3341" s="391"/>
      <c r="R3341" s="393"/>
    </row>
    <row r="3342" spans="1:18" ht="30" customHeight="1" x14ac:dyDescent="0.25">
      <c r="A3342" s="30" t="s">
        <v>288</v>
      </c>
      <c r="B3342" s="208">
        <v>7352</v>
      </c>
      <c r="C3342" s="282" t="s">
        <v>2220</v>
      </c>
      <c r="D3342" s="283"/>
      <c r="E3342" s="177" t="s">
        <v>291</v>
      </c>
      <c r="F3342" s="178" t="s">
        <v>9</v>
      </c>
      <c r="G3342" s="123" t="s">
        <v>375</v>
      </c>
      <c r="H3342" s="769">
        <v>20312</v>
      </c>
      <c r="I3342" s="177" t="s">
        <v>292</v>
      </c>
      <c r="J3342" s="38" t="s">
        <v>516</v>
      </c>
      <c r="K3342" s="39"/>
      <c r="L3342" s="40"/>
      <c r="M3342" s="419"/>
      <c r="N3342" s="671"/>
      <c r="O3342"/>
      <c r="P3342" s="412"/>
      <c r="Q3342" s="391"/>
      <c r="R3342" s="393"/>
    </row>
    <row r="3343" spans="1:18" ht="30" customHeight="1" x14ac:dyDescent="0.25">
      <c r="A3343" s="44" t="s">
        <v>517</v>
      </c>
      <c r="B3343" s="180" t="s">
        <v>295</v>
      </c>
      <c r="C3343" s="180"/>
      <c r="D3343" s="180"/>
      <c r="E3343" s="182" t="s">
        <v>518</v>
      </c>
      <c r="F3343" s="285" t="s">
        <v>519</v>
      </c>
      <c r="G3343" s="286" t="s">
        <v>2221</v>
      </c>
      <c r="H3343" s="287"/>
      <c r="I3343" s="286" t="s">
        <v>520</v>
      </c>
      <c r="J3343" s="287"/>
      <c r="K3343" s="493" t="s">
        <v>2222</v>
      </c>
      <c r="L3343" s="494"/>
      <c r="M3343" s="419"/>
      <c r="N3343" s="420"/>
      <c r="O3343"/>
      <c r="P3343" s="412"/>
      <c r="Q3343" s="391"/>
      <c r="R3343" s="393"/>
    </row>
    <row r="3344" spans="1:18" ht="30" customHeight="1" x14ac:dyDescent="0.25">
      <c r="A3344" s="65" t="s">
        <v>522</v>
      </c>
      <c r="B3344" s="214" t="s">
        <v>2223</v>
      </c>
      <c r="C3344" s="214"/>
      <c r="D3344" s="214"/>
      <c r="E3344" s="291">
        <v>99000</v>
      </c>
      <c r="F3344" s="292">
        <v>324</v>
      </c>
      <c r="G3344" s="1410">
        <v>27319180</v>
      </c>
      <c r="H3344" s="1411"/>
      <c r="I3344" s="1412" t="s">
        <v>524</v>
      </c>
      <c r="J3344" s="1413"/>
      <c r="K3344" s="292">
        <f>F3344</f>
        <v>324</v>
      </c>
      <c r="L3344" s="290" t="s">
        <v>9</v>
      </c>
      <c r="M3344" s="419"/>
      <c r="N3344" s="420"/>
      <c r="O3344"/>
      <c r="P3344" s="412"/>
      <c r="Q3344" s="391"/>
      <c r="R3344" s="393"/>
    </row>
    <row r="3345" spans="1:21" ht="30" customHeight="1" thickBot="1" x14ac:dyDescent="0.3">
      <c r="A3345" s="61"/>
      <c r="B3345" s="191"/>
      <c r="C3345" s="191"/>
      <c r="D3345" s="191"/>
      <c r="E3345" s="297"/>
      <c r="F3345" s="298"/>
      <c r="G3345" s="298"/>
      <c r="H3345" s="299"/>
      <c r="I3345" s="18"/>
      <c r="J3345" s="185" t="s">
        <v>352</v>
      </c>
      <c r="K3345" s="301">
        <f>SUM(K3344:K3344)</f>
        <v>324</v>
      </c>
      <c r="L3345" s="20" t="s">
        <v>9</v>
      </c>
      <c r="M3345" s="425"/>
      <c r="N3345" s="502"/>
      <c r="O3345"/>
      <c r="P3345" s="412"/>
      <c r="Q3345" s="391"/>
      <c r="R3345" s="393"/>
    </row>
    <row r="3346" spans="1:21" ht="30" customHeight="1" thickBot="1" x14ac:dyDescent="0.3">
      <c r="A3346" s="76"/>
      <c r="B3346" s="77"/>
      <c r="C3346" s="77"/>
      <c r="D3346" s="77"/>
      <c r="E3346" s="77"/>
      <c r="F3346" s="77"/>
      <c r="G3346" s="77"/>
      <c r="H3346" s="77"/>
      <c r="I3346" s="77"/>
      <c r="J3346" s="77"/>
      <c r="K3346" s="77"/>
      <c r="L3346" s="78"/>
      <c r="M3346" s="425"/>
      <c r="N3346" s="502"/>
      <c r="O3346"/>
      <c r="P3346" s="412"/>
      <c r="Q3346" s="391"/>
      <c r="R3346" s="393"/>
    </row>
    <row r="3347" spans="1:21" ht="30" customHeight="1" x14ac:dyDescent="0.25">
      <c r="A3347" s="207" t="s">
        <v>288</v>
      </c>
      <c r="B3347" s="208">
        <v>7353</v>
      </c>
      <c r="C3347" s="282" t="s">
        <v>2224</v>
      </c>
      <c r="D3347" s="283"/>
      <c r="E3347" s="177" t="s">
        <v>291</v>
      </c>
      <c r="F3347" s="178" t="s">
        <v>9</v>
      </c>
      <c r="G3347" s="123" t="s">
        <v>375</v>
      </c>
      <c r="H3347" s="302">
        <v>6727</v>
      </c>
      <c r="I3347" s="177" t="s">
        <v>292</v>
      </c>
      <c r="J3347" s="38" t="s">
        <v>623</v>
      </c>
      <c r="K3347" s="39"/>
      <c r="L3347" s="40"/>
      <c r="M3347" s="419"/>
      <c r="N3347" s="420"/>
      <c r="O3347"/>
      <c r="P3347" s="412"/>
      <c r="Q3347" s="391"/>
      <c r="R3347" s="393"/>
    </row>
    <row r="3348" spans="1:21" s="49" customFormat="1" ht="30" customHeight="1" x14ac:dyDescent="0.25">
      <c r="A3348" s="181" t="s">
        <v>517</v>
      </c>
      <c r="B3348" s="180" t="s">
        <v>295</v>
      </c>
      <c r="C3348" s="180"/>
      <c r="D3348" s="180"/>
      <c r="E3348" s="285" t="s">
        <v>519</v>
      </c>
      <c r="F3348" s="181" t="s">
        <v>518</v>
      </c>
      <c r="G3348" s="665" t="s">
        <v>562</v>
      </c>
      <c r="H3348" s="666"/>
      <c r="I3348" s="286" t="s">
        <v>520</v>
      </c>
      <c r="J3348" s="287"/>
      <c r="K3348" s="288" t="s">
        <v>521</v>
      </c>
      <c r="L3348" s="289"/>
      <c r="M3348" s="1368"/>
      <c r="N3348" s="1310"/>
      <c r="P3348" s="412"/>
      <c r="Q3348" s="391"/>
      <c r="R3348" s="393"/>
    </row>
    <row r="3349" spans="1:21" ht="30" customHeight="1" x14ac:dyDescent="0.25">
      <c r="A3349" s="20">
        <v>73046</v>
      </c>
      <c r="B3349" s="402" t="s">
        <v>2225</v>
      </c>
      <c r="C3349" s="403"/>
      <c r="D3349" s="404"/>
      <c r="E3349" s="405">
        <v>343</v>
      </c>
      <c r="F3349" s="729">
        <v>99000</v>
      </c>
      <c r="G3349" s="680"/>
      <c r="H3349" s="680"/>
      <c r="I3349" s="1109">
        <f>+'MILCON Inflation Table'!F17</f>
        <v>0.9432470865927236</v>
      </c>
      <c r="J3349" s="1110"/>
      <c r="K3349" s="304">
        <f>+E3349*I3349</f>
        <v>323.5337507013042</v>
      </c>
      <c r="L3349" s="290" t="s">
        <v>9</v>
      </c>
      <c r="M3349" s="1368"/>
      <c r="N3349" s="1310"/>
      <c r="O3349"/>
      <c r="P3349" s="412"/>
      <c r="Q3349" s="391"/>
      <c r="R3349" s="393"/>
    </row>
    <row r="3350" spans="1:21" ht="30" customHeight="1" thickBot="1" x14ac:dyDescent="0.3">
      <c r="A3350" s="20"/>
      <c r="B3350" s="503"/>
      <c r="C3350" s="504"/>
      <c r="D3350" s="505"/>
      <c r="E3350" s="465"/>
      <c r="F3350" s="763"/>
      <c r="G3350" s="465"/>
      <c r="H3350" s="764"/>
      <c r="I3350" s="18"/>
      <c r="J3350" s="185" t="s">
        <v>358</v>
      </c>
      <c r="K3350" s="305">
        <f>AVERAGE(K3349:K3349)</f>
        <v>323.5337507013042</v>
      </c>
      <c r="L3350" s="290" t="s">
        <v>9</v>
      </c>
      <c r="M3350" s="419"/>
      <c r="N3350" s="420"/>
      <c r="O3350"/>
      <c r="P3350" s="412"/>
      <c r="Q3350" s="391"/>
      <c r="R3350" s="393"/>
    </row>
    <row r="3351" spans="1:21" ht="30" customHeight="1" thickBot="1" x14ac:dyDescent="0.3">
      <c r="A3351" s="76"/>
      <c r="B3351" s="77"/>
      <c r="C3351" s="77"/>
      <c r="D3351" s="77"/>
      <c r="E3351" s="77"/>
      <c r="F3351" s="77"/>
      <c r="G3351" s="77"/>
      <c r="H3351" s="77"/>
      <c r="I3351" s="77"/>
      <c r="J3351" s="77"/>
      <c r="K3351" s="77"/>
      <c r="L3351" s="78"/>
      <c r="M3351" s="419"/>
      <c r="N3351" s="420"/>
      <c r="O3351"/>
      <c r="P3351" s="412"/>
      <c r="Q3351" s="391"/>
      <c r="R3351" s="393"/>
    </row>
    <row r="3352" spans="1:21" ht="30" customHeight="1" x14ac:dyDescent="0.25">
      <c r="A3352" s="207" t="s">
        <v>288</v>
      </c>
      <c r="B3352" s="208">
        <v>7361</v>
      </c>
      <c r="C3352" s="484" t="s">
        <v>2228</v>
      </c>
      <c r="D3352" s="485"/>
      <c r="E3352" s="177" t="s">
        <v>291</v>
      </c>
      <c r="F3352" s="178" t="s">
        <v>9</v>
      </c>
      <c r="G3352" s="123" t="s">
        <v>375</v>
      </c>
      <c r="H3352" s="302">
        <v>6404</v>
      </c>
      <c r="I3352" s="177" t="s">
        <v>292</v>
      </c>
      <c r="J3352" s="38" t="s">
        <v>623</v>
      </c>
      <c r="K3352" s="39"/>
      <c r="L3352" s="40"/>
      <c r="M3352" s="419"/>
      <c r="N3352" s="420"/>
    </row>
    <row r="3353" spans="1:21" ht="30" customHeight="1" x14ac:dyDescent="0.25">
      <c r="A3353" s="181" t="s">
        <v>517</v>
      </c>
      <c r="B3353" s="180" t="s">
        <v>295</v>
      </c>
      <c r="C3353" s="180"/>
      <c r="D3353" s="180"/>
      <c r="E3353" s="285" t="s">
        <v>519</v>
      </c>
      <c r="F3353" s="181" t="s">
        <v>518</v>
      </c>
      <c r="G3353" s="665" t="s">
        <v>562</v>
      </c>
      <c r="H3353" s="666"/>
      <c r="I3353" s="286" t="s">
        <v>520</v>
      </c>
      <c r="J3353" s="287"/>
      <c r="K3353" s="288" t="s">
        <v>521</v>
      </c>
      <c r="L3353" s="289"/>
      <c r="M3353" s="1330"/>
      <c r="N3353" s="420"/>
    </row>
    <row r="3354" spans="1:21" ht="30" customHeight="1" x14ac:dyDescent="0.25">
      <c r="A3354" s="20">
        <v>73017</v>
      </c>
      <c r="B3354" s="503" t="s">
        <v>2229</v>
      </c>
      <c r="C3354" s="504"/>
      <c r="D3354" s="505"/>
      <c r="E3354" s="405">
        <v>344</v>
      </c>
      <c r="F3354" s="729">
        <v>23000</v>
      </c>
      <c r="G3354" s="1126"/>
      <c r="H3354" s="680"/>
      <c r="I3354" s="1109">
        <f>+'MILCON Inflation Table'!$F$17</f>
        <v>0.9432470865927236</v>
      </c>
      <c r="J3354" s="1110"/>
      <c r="K3354" s="304">
        <f>+E3354*I3354</f>
        <v>324.47699778789695</v>
      </c>
      <c r="L3354" s="290" t="s">
        <v>9</v>
      </c>
      <c r="M3354" s="1330"/>
      <c r="N3354" s="420"/>
      <c r="O3354" s="42"/>
      <c r="P3354" s="41"/>
      <c r="Q3354" s="41"/>
      <c r="R3354" s="41"/>
      <c r="S3354" s="41"/>
      <c r="T3354" s="41"/>
      <c r="U3354" s="43"/>
    </row>
    <row r="3355" spans="1:21" ht="30" customHeight="1" thickBot="1" x14ac:dyDescent="0.3">
      <c r="A3355" s="20"/>
      <c r="B3355" s="503"/>
      <c r="C3355" s="504"/>
      <c r="D3355" s="505"/>
      <c r="E3355" s="465"/>
      <c r="F3355" s="763"/>
      <c r="G3355" s="465"/>
      <c r="H3355" s="764"/>
      <c r="I3355" s="18"/>
      <c r="J3355" s="185" t="s">
        <v>358</v>
      </c>
      <c r="K3355" s="305">
        <f>SUM(K3354:K3354)</f>
        <v>324.47699778789695</v>
      </c>
      <c r="L3355" s="290" t="s">
        <v>9</v>
      </c>
      <c r="M3355" s="419"/>
      <c r="N3355" s="420"/>
      <c r="U3355" s="43"/>
    </row>
    <row r="3356" spans="1:21" s="41" customFormat="1" ht="30" customHeight="1" thickBot="1" x14ac:dyDescent="0.3">
      <c r="A3356" s="76"/>
      <c r="B3356" s="77"/>
      <c r="C3356" s="77"/>
      <c r="D3356" s="77"/>
      <c r="E3356" s="77"/>
      <c r="F3356" s="77"/>
      <c r="G3356" s="77"/>
      <c r="H3356" s="77"/>
      <c r="I3356" s="77"/>
      <c r="J3356" s="77"/>
      <c r="K3356" s="77"/>
      <c r="L3356" s="78"/>
      <c r="M3356" s="419"/>
      <c r="N3356" s="420"/>
      <c r="O3356" s="27"/>
      <c r="P3356"/>
      <c r="Q3356"/>
      <c r="R3356"/>
      <c r="S3356"/>
      <c r="T3356"/>
    </row>
    <row r="3357" spans="1:21" s="49" customFormat="1" ht="30" customHeight="1" x14ac:dyDescent="0.25">
      <c r="A3357" s="1379" t="s">
        <v>288</v>
      </c>
      <c r="B3357" s="1380">
        <v>7362</v>
      </c>
      <c r="C3357" s="1416" t="s">
        <v>2230</v>
      </c>
      <c r="D3357" s="1417"/>
      <c r="E3357" s="1383" t="s">
        <v>291</v>
      </c>
      <c r="F3357" s="1418" t="s">
        <v>9</v>
      </c>
      <c r="G3357" s="123" t="s">
        <v>375</v>
      </c>
      <c r="H3357" s="1419">
        <v>5972</v>
      </c>
      <c r="I3357" s="1383" t="s">
        <v>292</v>
      </c>
      <c r="J3357" s="38" t="s">
        <v>883</v>
      </c>
      <c r="K3357" s="38"/>
      <c r="L3357" s="389"/>
      <c r="M3357" s="25"/>
      <c r="N3357" s="420"/>
      <c r="O3357" s="27"/>
      <c r="P3357" s="50"/>
      <c r="Q3357" s="50"/>
      <c r="R3357" s="50"/>
      <c r="S3357" s="212"/>
      <c r="T3357" s="212"/>
    </row>
    <row r="3358" spans="1:21" ht="30" customHeight="1" x14ac:dyDescent="0.25">
      <c r="A3358" s="1386" t="s">
        <v>529</v>
      </c>
      <c r="B3358" s="1387" t="s">
        <v>560</v>
      </c>
      <c r="C3358" s="1388"/>
      <c r="D3358" s="1389"/>
      <c r="E3358" s="1390" t="s">
        <v>519</v>
      </c>
      <c r="F3358" s="1390" t="s">
        <v>561</v>
      </c>
      <c r="G3358" s="1391" t="s">
        <v>562</v>
      </c>
      <c r="H3358" s="1392"/>
      <c r="I3358" s="1393" t="s">
        <v>2205</v>
      </c>
      <c r="J3358" s="1393"/>
      <c r="K3358" s="288" t="s">
        <v>521</v>
      </c>
      <c r="L3358" s="289"/>
      <c r="M3358" s="502"/>
      <c r="N3358" s="420"/>
      <c r="P3358" s="43"/>
      <c r="Q3358" s="43"/>
      <c r="R3358" s="43"/>
      <c r="S3358" s="60"/>
      <c r="T3358" s="60"/>
    </row>
    <row r="3359" spans="1:21" ht="30" customHeight="1" x14ac:dyDescent="0.25">
      <c r="A3359" s="1394" t="s">
        <v>2206</v>
      </c>
      <c r="B3359" s="1395" t="s">
        <v>2207</v>
      </c>
      <c r="C3359" s="1396"/>
      <c r="D3359" s="1397"/>
      <c r="E3359" s="1398">
        <v>119</v>
      </c>
      <c r="F3359" s="1399" t="s">
        <v>9</v>
      </c>
      <c r="G3359" s="1400"/>
      <c r="H3359" s="1401"/>
      <c r="I3359" s="1402">
        <v>1.04</v>
      </c>
      <c r="J3359" s="1402"/>
      <c r="K3359" s="1398">
        <f>+E3359*I3359</f>
        <v>123.76</v>
      </c>
      <c r="L3359" s="1402" t="s">
        <v>9</v>
      </c>
      <c r="M3359" s="341"/>
      <c r="O3359"/>
      <c r="P3359" s="412"/>
      <c r="Q3359" s="391"/>
      <c r="R3359" s="393"/>
    </row>
    <row r="3360" spans="1:21" ht="30" customHeight="1" x14ac:dyDescent="0.25">
      <c r="A3360" s="1403" t="s">
        <v>888</v>
      </c>
      <c r="B3360" s="1395" t="s">
        <v>2231</v>
      </c>
      <c r="C3360" s="1396"/>
      <c r="D3360" s="1397"/>
      <c r="E3360" s="1398">
        <v>4.1500000000000004</v>
      </c>
      <c r="F3360" s="1402" t="s">
        <v>9</v>
      </c>
      <c r="G3360" s="1404">
        <f>20/144</f>
        <v>0.1388888888888889</v>
      </c>
      <c r="H3360" s="1402" t="s">
        <v>2209</v>
      </c>
      <c r="I3360" s="1402">
        <v>1.04</v>
      </c>
      <c r="J3360" s="1402"/>
      <c r="K3360" s="1398">
        <f>+E3360*G3360*I3360</f>
        <v>0.59944444444444456</v>
      </c>
      <c r="L3360" s="1402" t="s">
        <v>9</v>
      </c>
      <c r="M3360" s="341"/>
      <c r="N3360" s="502"/>
      <c r="O3360"/>
      <c r="P3360" s="412"/>
      <c r="Q3360" s="391"/>
      <c r="R3360" s="393"/>
    </row>
    <row r="3361" spans="1:21" ht="30" customHeight="1" x14ac:dyDescent="0.25">
      <c r="A3361" s="1402"/>
      <c r="B3361" s="1395"/>
      <c r="C3361" s="1396"/>
      <c r="D3361" s="1397"/>
      <c r="E3361" s="1398"/>
      <c r="F3361" s="1402"/>
      <c r="G3361" s="1402"/>
      <c r="H3361" s="1402"/>
      <c r="I3361" s="1402"/>
      <c r="J3361" s="1402" t="s">
        <v>578</v>
      </c>
      <c r="K3361" s="1398">
        <f>SUM(K3359:K3360)</f>
        <v>124.35944444444445</v>
      </c>
      <c r="L3361" s="1402" t="s">
        <v>9</v>
      </c>
      <c r="N3361" s="342"/>
      <c r="O3361"/>
      <c r="P3361" s="412"/>
      <c r="Q3361" s="391"/>
      <c r="R3361" s="393"/>
    </row>
    <row r="3362" spans="1:21" s="49" customFormat="1" ht="30" customHeight="1" x14ac:dyDescent="0.25">
      <c r="A3362" s="20"/>
      <c r="B3362" s="410"/>
      <c r="C3362" s="410"/>
      <c r="D3362" s="410"/>
      <c r="E3362" s="405"/>
      <c r="F3362" s="338" t="s">
        <v>533</v>
      </c>
      <c r="G3362" s="339" t="s">
        <v>534</v>
      </c>
      <c r="H3362" s="339"/>
      <c r="I3362" s="339"/>
      <c r="J3362" s="339"/>
      <c r="K3362" s="340">
        <v>1.07</v>
      </c>
      <c r="L3362" s="10"/>
      <c r="M3362" s="43"/>
      <c r="N3362" s="342"/>
      <c r="P3362" s="412"/>
      <c r="Q3362" s="391"/>
      <c r="R3362" s="393"/>
    </row>
    <row r="3363" spans="1:21" ht="30" customHeight="1" x14ac:dyDescent="0.25">
      <c r="A3363" s="20"/>
      <c r="B3363" s="410"/>
      <c r="C3363" s="410"/>
      <c r="D3363" s="410"/>
      <c r="E3363" s="405"/>
      <c r="F3363" s="343"/>
      <c r="G3363" s="344" t="s">
        <v>535</v>
      </c>
      <c r="H3363" s="344"/>
      <c r="I3363" s="344"/>
      <c r="J3363" s="344"/>
      <c r="K3363" s="340">
        <v>1.02</v>
      </c>
      <c r="L3363" s="10"/>
      <c r="O3363"/>
      <c r="P3363" s="412"/>
      <c r="Q3363" s="391"/>
      <c r="R3363" s="393"/>
    </row>
    <row r="3364" spans="1:21" ht="30" customHeight="1" x14ac:dyDescent="0.25">
      <c r="A3364" s="1402"/>
      <c r="B3364" s="1402"/>
      <c r="C3364" s="1408"/>
      <c r="D3364" s="1408"/>
      <c r="E3364" s="1408"/>
      <c r="F3364" s="1408"/>
      <c r="G3364" s="1408"/>
      <c r="H3364" s="1408"/>
      <c r="I3364" s="1408"/>
      <c r="J3364" s="1402" t="s">
        <v>358</v>
      </c>
      <c r="K3364" s="1409">
        <f>+K3361*K3362/K3363</f>
        <v>130.45549564270155</v>
      </c>
      <c r="L3364" s="1402" t="s">
        <v>9</v>
      </c>
      <c r="O3364"/>
      <c r="P3364" s="412"/>
      <c r="Q3364" s="391"/>
      <c r="R3364" s="393"/>
    </row>
    <row r="3365" spans="1:21" ht="30" customHeight="1" x14ac:dyDescent="0.25">
      <c r="A3365" s="1402"/>
      <c r="B3365" s="1402"/>
      <c r="C3365" s="1408"/>
      <c r="D3365" s="1408"/>
      <c r="E3365" s="1408"/>
      <c r="F3365" s="1408"/>
      <c r="G3365" s="556"/>
      <c r="H3365" s="1408"/>
      <c r="I3365" s="1420" t="s">
        <v>652</v>
      </c>
      <c r="J3365" s="361">
        <f>VLOOKUP(B3357,'Mil Cost Premiums for RUCs'!$A$4:$R$265,18,FALSE)</f>
        <v>1.3045524833281539</v>
      </c>
      <c r="K3365" s="1409">
        <f>+K3364*J3365</f>
        <v>170.18604080449145</v>
      </c>
      <c r="L3365" s="1402" t="s">
        <v>9</v>
      </c>
      <c r="M3365" s="341"/>
      <c r="N3365" s="342"/>
      <c r="O3365"/>
      <c r="P3365" s="412"/>
      <c r="Q3365" s="391"/>
      <c r="R3365" s="393"/>
    </row>
    <row r="3366" spans="1:21" ht="75" customHeight="1" x14ac:dyDescent="0.25">
      <c r="A3366" s="577" t="s">
        <v>538</v>
      </c>
      <c r="B3366" s="578"/>
      <c r="C3366" s="578"/>
      <c r="D3366" s="578"/>
      <c r="E3366" s="578"/>
      <c r="F3366" s="578"/>
      <c r="G3366" s="578"/>
      <c r="H3366" s="578"/>
      <c r="I3366" s="578"/>
      <c r="J3366" s="578"/>
      <c r="K3366" s="578"/>
      <c r="L3366" s="579"/>
      <c r="N3366" s="1343"/>
      <c r="O3366"/>
      <c r="P3366" s="412"/>
      <c r="Q3366" s="391"/>
      <c r="R3366" s="393"/>
    </row>
    <row r="3367" spans="1:21" ht="30" customHeight="1" x14ac:dyDescent="0.25">
      <c r="A3367" s="476" t="s">
        <v>539</v>
      </c>
      <c r="B3367" s="477"/>
      <c r="C3367" s="478"/>
      <c r="D3367" s="386" t="s">
        <v>2232</v>
      </c>
      <c r="E3367" s="849"/>
      <c r="F3367" s="849"/>
      <c r="G3367" s="849"/>
      <c r="H3367" s="849"/>
      <c r="I3367" s="849"/>
      <c r="J3367" s="849"/>
      <c r="K3367" s="849"/>
      <c r="L3367" s="850"/>
      <c r="M3367" s="43"/>
      <c r="O3367"/>
      <c r="P3367" s="412"/>
      <c r="Q3367" s="391"/>
      <c r="R3367" s="393"/>
    </row>
    <row r="3368" spans="1:21" ht="30" customHeight="1" x14ac:dyDescent="0.25">
      <c r="A3368" s="476" t="s">
        <v>541</v>
      </c>
      <c r="B3368" s="477"/>
      <c r="C3368" s="478"/>
      <c r="D3368" s="386" t="s">
        <v>2233</v>
      </c>
      <c r="E3368" s="849"/>
      <c r="F3368" s="849"/>
      <c r="G3368" s="849"/>
      <c r="H3368" s="849"/>
      <c r="I3368" s="849"/>
      <c r="J3368" s="849"/>
      <c r="K3368" s="849"/>
      <c r="L3368" s="850"/>
      <c r="M3368" s="419"/>
      <c r="O3368"/>
      <c r="P3368" s="412"/>
      <c r="Q3368" s="391"/>
      <c r="R3368" s="393"/>
    </row>
    <row r="3369" spans="1:21" ht="30" customHeight="1" x14ac:dyDescent="0.25">
      <c r="A3369" s="476" t="s">
        <v>543</v>
      </c>
      <c r="B3369" s="477"/>
      <c r="C3369" s="478"/>
      <c r="D3369" s="386" t="s">
        <v>2234</v>
      </c>
      <c r="E3369" s="849"/>
      <c r="F3369" s="849"/>
      <c r="G3369" s="849"/>
      <c r="H3369" s="849"/>
      <c r="I3369" s="849"/>
      <c r="J3369" s="849"/>
      <c r="K3369" s="849"/>
      <c r="L3369" s="850"/>
      <c r="M3369" s="425"/>
      <c r="O3369"/>
      <c r="P3369" s="412"/>
      <c r="Q3369" s="391"/>
      <c r="R3369" s="393"/>
    </row>
    <row r="3370" spans="1:21" ht="75" customHeight="1" x14ac:dyDescent="0.25">
      <c r="A3370" s="476" t="s">
        <v>546</v>
      </c>
      <c r="B3370" s="477"/>
      <c r="C3370" s="478"/>
      <c r="D3370" s="386" t="s">
        <v>2235</v>
      </c>
      <c r="E3370" s="849"/>
      <c r="F3370" s="849"/>
      <c r="G3370" s="849"/>
      <c r="H3370" s="849"/>
      <c r="I3370" s="849"/>
      <c r="J3370" s="849"/>
      <c r="K3370" s="849"/>
      <c r="L3370" s="850"/>
      <c r="M3370" s="434"/>
      <c r="N3370" s="105"/>
      <c r="O3370"/>
      <c r="P3370" s="412"/>
      <c r="Q3370" s="391"/>
      <c r="R3370" s="393"/>
    </row>
    <row r="3371" spans="1:21" ht="30" customHeight="1" x14ac:dyDescent="0.25">
      <c r="A3371" s="476" t="s">
        <v>548</v>
      </c>
      <c r="B3371" s="477"/>
      <c r="C3371" s="478"/>
      <c r="D3371" s="386" t="s">
        <v>2236</v>
      </c>
      <c r="E3371" s="849"/>
      <c r="F3371" s="849"/>
      <c r="G3371" s="849"/>
      <c r="H3371" s="849"/>
      <c r="I3371" s="849"/>
      <c r="J3371" s="849"/>
      <c r="K3371" s="849"/>
      <c r="L3371" s="850"/>
      <c r="M3371" s="1421"/>
      <c r="N3371" s="420"/>
      <c r="O3371"/>
      <c r="P3371" s="412"/>
      <c r="Q3371" s="391"/>
      <c r="R3371" s="393"/>
    </row>
    <row r="3372" spans="1:21" ht="30" customHeight="1" x14ac:dyDescent="0.25">
      <c r="A3372" s="476" t="s">
        <v>550</v>
      </c>
      <c r="B3372" s="477"/>
      <c r="C3372" s="478"/>
      <c r="D3372" s="386" t="s">
        <v>551</v>
      </c>
      <c r="E3372" s="849"/>
      <c r="F3372" s="849"/>
      <c r="G3372" s="849"/>
      <c r="H3372" s="849"/>
      <c r="I3372" s="849"/>
      <c r="J3372" s="849"/>
      <c r="K3372" s="849"/>
      <c r="L3372" s="850"/>
      <c r="M3372" s="419"/>
      <c r="N3372" s="537"/>
      <c r="O3372"/>
      <c r="P3372" s="412"/>
      <c r="Q3372" s="391"/>
      <c r="R3372" s="393"/>
    </row>
    <row r="3373" spans="1:21" ht="30" customHeight="1" x14ac:dyDescent="0.25">
      <c r="A3373" s="476" t="s">
        <v>552</v>
      </c>
      <c r="B3373" s="477"/>
      <c r="C3373" s="478"/>
      <c r="D3373" s="386" t="s">
        <v>2237</v>
      </c>
      <c r="E3373" s="849"/>
      <c r="F3373" s="849"/>
      <c r="G3373" s="849"/>
      <c r="H3373" s="849"/>
      <c r="I3373" s="849"/>
      <c r="J3373" s="849"/>
      <c r="K3373" s="849"/>
      <c r="L3373" s="850"/>
      <c r="M3373" s="1422"/>
      <c r="N3373" s="537"/>
      <c r="O3373" s="43"/>
      <c r="P3373" s="672"/>
      <c r="Q3373" s="671"/>
      <c r="R3373" s="673"/>
    </row>
    <row r="3374" spans="1:21" ht="30" customHeight="1" x14ac:dyDescent="0.25">
      <c r="A3374" s="476" t="s">
        <v>553</v>
      </c>
      <c r="B3374" s="477"/>
      <c r="C3374" s="478"/>
      <c r="D3374" s="386" t="s">
        <v>660</v>
      </c>
      <c r="E3374" s="849"/>
      <c r="F3374" s="849"/>
      <c r="G3374" s="849"/>
      <c r="H3374" s="849"/>
      <c r="I3374" s="849"/>
      <c r="J3374" s="849"/>
      <c r="K3374" s="849"/>
      <c r="L3374" s="850"/>
      <c r="M3374" s="419"/>
      <c r="N3374" s="420"/>
      <c r="O3374" s="43"/>
      <c r="P3374" s="672"/>
      <c r="Q3374" s="671"/>
      <c r="R3374" s="673"/>
    </row>
    <row r="3375" spans="1:21" ht="45" customHeight="1" thickBot="1" x14ac:dyDescent="0.3">
      <c r="A3375" s="476" t="s">
        <v>556</v>
      </c>
      <c r="B3375" s="477"/>
      <c r="C3375" s="478"/>
      <c r="D3375" s="386" t="s">
        <v>2219</v>
      </c>
      <c r="E3375" s="849"/>
      <c r="F3375" s="849"/>
      <c r="G3375" s="849"/>
      <c r="H3375" s="849"/>
      <c r="I3375" s="849"/>
      <c r="J3375" s="849"/>
      <c r="K3375" s="849"/>
      <c r="L3375" s="850"/>
      <c r="M3375" s="419"/>
      <c r="N3375" s="1423"/>
      <c r="O3375" s="43"/>
      <c r="P3375" s="672"/>
      <c r="Q3375" s="671"/>
      <c r="R3375" s="673"/>
    </row>
    <row r="3376" spans="1:21" ht="30" customHeight="1" thickBot="1" x14ac:dyDescent="0.3">
      <c r="A3376" s="76"/>
      <c r="B3376" s="77"/>
      <c r="C3376" s="77"/>
      <c r="D3376" s="77"/>
      <c r="E3376" s="77"/>
      <c r="F3376" s="77"/>
      <c r="G3376" s="77"/>
      <c r="H3376" s="77"/>
      <c r="I3376" s="77"/>
      <c r="J3376" s="77"/>
      <c r="K3376" s="77"/>
      <c r="L3376" s="78"/>
      <c r="M3376" s="419"/>
      <c r="N3376" s="420"/>
      <c r="O3376" s="42"/>
      <c r="P3376" s="41"/>
      <c r="Q3376" s="41"/>
      <c r="R3376" s="41"/>
      <c r="S3376" s="41"/>
      <c r="T3376" s="41"/>
      <c r="U3376" s="43"/>
    </row>
    <row r="3377" spans="1:21" ht="30" customHeight="1" x14ac:dyDescent="0.25">
      <c r="A3377" s="207" t="s">
        <v>288</v>
      </c>
      <c r="B3377" s="208">
        <v>7371</v>
      </c>
      <c r="C3377" s="484" t="s">
        <v>2238</v>
      </c>
      <c r="D3377" s="485"/>
      <c r="E3377" s="177" t="s">
        <v>291</v>
      </c>
      <c r="F3377" s="178" t="s">
        <v>9</v>
      </c>
      <c r="G3377" s="123" t="s">
        <v>375</v>
      </c>
      <c r="H3377" s="302">
        <v>9047</v>
      </c>
      <c r="I3377" s="177" t="s">
        <v>292</v>
      </c>
      <c r="J3377" s="38" t="s">
        <v>713</v>
      </c>
      <c r="K3377" s="39"/>
      <c r="L3377" s="40"/>
      <c r="M3377" s="419"/>
      <c r="N3377" s="420"/>
      <c r="U3377" s="43"/>
    </row>
    <row r="3378" spans="1:21" s="41" customFormat="1" ht="30" customHeight="1" x14ac:dyDescent="0.25">
      <c r="A3378" s="181" t="s">
        <v>517</v>
      </c>
      <c r="B3378" s="180" t="s">
        <v>295</v>
      </c>
      <c r="C3378" s="180"/>
      <c r="D3378" s="180"/>
      <c r="E3378" s="285" t="s">
        <v>519</v>
      </c>
      <c r="F3378" s="181" t="s">
        <v>518</v>
      </c>
      <c r="G3378" s="665" t="s">
        <v>562</v>
      </c>
      <c r="H3378" s="666"/>
      <c r="I3378" s="286" t="s">
        <v>702</v>
      </c>
      <c r="J3378" s="287"/>
      <c r="K3378" s="288" t="s">
        <v>521</v>
      </c>
      <c r="L3378" s="289"/>
      <c r="M3378" s="1424"/>
      <c r="N3378" s="420"/>
      <c r="O3378" s="654"/>
      <c r="P3378" s="25"/>
      <c r="Q3378"/>
      <c r="R3378"/>
      <c r="S3378"/>
      <c r="T3378"/>
    </row>
    <row r="3379" spans="1:21" s="49" customFormat="1" ht="30" customHeight="1" x14ac:dyDescent="0.25">
      <c r="A3379" s="20">
        <v>74017</v>
      </c>
      <c r="B3379" s="503" t="s">
        <v>2239</v>
      </c>
      <c r="C3379" s="504"/>
      <c r="D3379" s="505"/>
      <c r="E3379" s="405">
        <v>241</v>
      </c>
      <c r="F3379" s="729">
        <v>23000</v>
      </c>
      <c r="G3379" s="1126"/>
      <c r="H3379" s="680"/>
      <c r="I3379" s="1109">
        <f>+'MILCON Inflation Table'!$F$16</f>
        <v>0.96211202832457809</v>
      </c>
      <c r="J3379" s="1110"/>
      <c r="K3379" s="304">
        <f>+E3379*I3379</f>
        <v>231.86899882622333</v>
      </c>
      <c r="L3379" s="290" t="s">
        <v>9</v>
      </c>
      <c r="M3379" s="1424"/>
      <c r="N3379" s="420"/>
      <c r="O3379" s="654"/>
      <c r="P3379" s="50"/>
      <c r="Q3379" s="50"/>
      <c r="R3379" s="50"/>
      <c r="S3379" s="212"/>
      <c r="T3379" s="212"/>
    </row>
    <row r="3380" spans="1:21" ht="30" customHeight="1" thickBot="1" x14ac:dyDescent="0.3">
      <c r="A3380" s="20"/>
      <c r="B3380" s="503"/>
      <c r="C3380" s="504"/>
      <c r="D3380" s="505"/>
      <c r="E3380" s="465"/>
      <c r="F3380" s="763"/>
      <c r="G3380" s="465"/>
      <c r="H3380" s="764"/>
      <c r="I3380" s="18"/>
      <c r="J3380" s="185" t="s">
        <v>358</v>
      </c>
      <c r="K3380" s="305">
        <f>SUM(K3379:K3379)</f>
        <v>231.86899882622333</v>
      </c>
      <c r="L3380" s="290" t="s">
        <v>9</v>
      </c>
      <c r="M3380" s="670"/>
      <c r="N3380" s="660"/>
      <c r="O3380" s="654"/>
      <c r="P3380" s="43"/>
      <c r="Q3380" s="43"/>
      <c r="R3380" s="43"/>
      <c r="S3380" s="60"/>
      <c r="T3380" s="60"/>
    </row>
    <row r="3381" spans="1:21" ht="30" customHeight="1" thickBot="1" x14ac:dyDescent="0.3">
      <c r="A3381" s="76"/>
      <c r="B3381" s="77"/>
      <c r="C3381" s="77"/>
      <c r="D3381" s="77"/>
      <c r="E3381" s="77"/>
      <c r="F3381" s="77"/>
      <c r="G3381" s="77"/>
      <c r="H3381" s="77"/>
      <c r="I3381" s="77"/>
      <c r="J3381" s="77"/>
      <c r="K3381" s="77"/>
      <c r="L3381" s="78"/>
      <c r="M3381" s="1342"/>
      <c r="N3381" s="660"/>
      <c r="O3381" s="25"/>
      <c r="P3381" s="566"/>
      <c r="Q3381" s="391"/>
      <c r="R3381" s="393"/>
    </row>
    <row r="3382" spans="1:21" ht="30" customHeight="1" x14ac:dyDescent="0.25">
      <c r="A3382" s="207" t="s">
        <v>288</v>
      </c>
      <c r="B3382" s="208">
        <v>7372</v>
      </c>
      <c r="C3382" s="209" t="s">
        <v>2240</v>
      </c>
      <c r="D3382" s="210"/>
      <c r="E3382" s="177" t="s">
        <v>291</v>
      </c>
      <c r="F3382" s="178" t="s">
        <v>9</v>
      </c>
      <c r="G3382" s="123" t="s">
        <v>375</v>
      </c>
      <c r="H3382" s="179">
        <v>8781</v>
      </c>
      <c r="I3382" s="177" t="s">
        <v>292</v>
      </c>
      <c r="J3382" s="38" t="s">
        <v>883</v>
      </c>
      <c r="K3382" s="38"/>
      <c r="L3382" s="389"/>
      <c r="M3382" s="670"/>
      <c r="N3382" s="671"/>
      <c r="O3382" s="25"/>
      <c r="P3382" s="566"/>
      <c r="Q3382" s="391"/>
      <c r="R3382" s="393"/>
    </row>
    <row r="3383" spans="1:21" ht="30" customHeight="1" x14ac:dyDescent="0.25">
      <c r="A3383" s="185" t="s">
        <v>529</v>
      </c>
      <c r="B3383" s="394" t="s">
        <v>560</v>
      </c>
      <c r="C3383" s="395"/>
      <c r="D3383" s="396"/>
      <c r="E3383" s="397" t="s">
        <v>519</v>
      </c>
      <c r="F3383" s="397" t="s">
        <v>561</v>
      </c>
      <c r="G3383" s="398" t="s">
        <v>562</v>
      </c>
      <c r="H3383" s="399"/>
      <c r="I3383" s="181" t="s">
        <v>530</v>
      </c>
      <c r="J3383" s="181"/>
      <c r="K3383" s="288" t="s">
        <v>521</v>
      </c>
      <c r="L3383" s="289"/>
      <c r="M3383" s="419"/>
      <c r="N3383" s="1365"/>
      <c r="O3383" s="25"/>
      <c r="P3383" s="566"/>
      <c r="Q3383" s="391"/>
      <c r="R3383" s="393"/>
    </row>
    <row r="3384" spans="1:21" s="49" customFormat="1" ht="30" customHeight="1" x14ac:dyDescent="0.25">
      <c r="A3384" s="778" t="s">
        <v>2241</v>
      </c>
      <c r="B3384" s="503" t="s">
        <v>2242</v>
      </c>
      <c r="C3384" s="504"/>
      <c r="D3384" s="505"/>
      <c r="E3384" s="405">
        <v>117.9</v>
      </c>
      <c r="F3384" s="22" t="s">
        <v>9</v>
      </c>
      <c r="G3384" s="1112"/>
      <c r="H3384" s="758"/>
      <c r="I3384" s="20">
        <v>1.06</v>
      </c>
      <c r="J3384" s="20"/>
      <c r="K3384" s="405">
        <f>+E3384*I3384</f>
        <v>124.97400000000002</v>
      </c>
      <c r="L3384" s="20" t="s">
        <v>9</v>
      </c>
      <c r="M3384" s="419"/>
      <c r="N3384" s="671"/>
      <c r="P3384" s="412"/>
      <c r="Q3384" s="391"/>
      <c r="R3384" s="393"/>
    </row>
    <row r="3385" spans="1:21" ht="30" customHeight="1" x14ac:dyDescent="0.25">
      <c r="A3385" s="1325" t="s">
        <v>691</v>
      </c>
      <c r="B3385" s="186" t="s">
        <v>2243</v>
      </c>
      <c r="C3385" s="186"/>
      <c r="D3385" s="186"/>
      <c r="E3385" s="405">
        <v>4.1399999999999997</v>
      </c>
      <c r="F3385" s="20" t="s">
        <v>9</v>
      </c>
      <c r="G3385" s="20"/>
      <c r="H3385" s="20"/>
      <c r="I3385" s="20">
        <v>1.06</v>
      </c>
      <c r="J3385" s="20"/>
      <c r="K3385" s="405">
        <f>+E3385*I3385</f>
        <v>4.3883999999999999</v>
      </c>
      <c r="L3385" s="20" t="s">
        <v>9</v>
      </c>
      <c r="N3385" s="420"/>
      <c r="O3385"/>
      <c r="P3385" s="412"/>
      <c r="Q3385" s="391"/>
      <c r="R3385" s="393"/>
    </row>
    <row r="3386" spans="1:21" ht="30" customHeight="1" x14ac:dyDescent="0.25">
      <c r="A3386" s="20"/>
      <c r="B3386" s="186"/>
      <c r="C3386" s="186"/>
      <c r="D3386" s="186"/>
      <c r="E3386" s="405"/>
      <c r="F3386" s="20"/>
      <c r="G3386" s="522"/>
      <c r="H3386" s="20"/>
      <c r="I3386" s="20"/>
      <c r="J3386" s="20" t="s">
        <v>578</v>
      </c>
      <c r="K3386" s="405">
        <f>SUM(K3384:K3385)</f>
        <v>129.36240000000001</v>
      </c>
      <c r="L3386" s="20" t="s">
        <v>9</v>
      </c>
      <c r="M3386" s="502"/>
      <c r="N3386" s="420"/>
      <c r="O3386"/>
      <c r="P3386" s="412"/>
      <c r="Q3386" s="391"/>
      <c r="R3386" s="393"/>
    </row>
    <row r="3387" spans="1:21" ht="30" customHeight="1" x14ac:dyDescent="0.25">
      <c r="A3387" s="20"/>
      <c r="B3387" s="410"/>
      <c r="C3387" s="410"/>
      <c r="D3387" s="410"/>
      <c r="E3387" s="405"/>
      <c r="F3387" s="338" t="s">
        <v>533</v>
      </c>
      <c r="G3387" s="339" t="s">
        <v>534</v>
      </c>
      <c r="H3387" s="339"/>
      <c r="I3387" s="339"/>
      <c r="J3387" s="339"/>
      <c r="K3387" s="340">
        <v>1.07</v>
      </c>
      <c r="L3387" s="10"/>
      <c r="M3387" s="341"/>
      <c r="N3387" s="342"/>
      <c r="O3387"/>
      <c r="P3387" s="412"/>
      <c r="Q3387" s="391"/>
      <c r="R3387" s="393"/>
    </row>
    <row r="3388" spans="1:21" ht="30" customHeight="1" x14ac:dyDescent="0.25">
      <c r="A3388" s="20"/>
      <c r="B3388" s="410"/>
      <c r="C3388" s="410"/>
      <c r="D3388" s="410"/>
      <c r="E3388" s="405"/>
      <c r="F3388" s="343"/>
      <c r="G3388" s="344" t="s">
        <v>535</v>
      </c>
      <c r="H3388" s="344"/>
      <c r="I3388" s="344"/>
      <c r="J3388" s="344"/>
      <c r="K3388" s="340">
        <v>1.02</v>
      </c>
      <c r="L3388" s="10"/>
      <c r="N3388" s="502"/>
      <c r="O3388" s="43"/>
      <c r="P3388" s="672"/>
      <c r="Q3388" s="671"/>
      <c r="R3388" s="673"/>
    </row>
    <row r="3389" spans="1:21" ht="30" customHeight="1" x14ac:dyDescent="0.25">
      <c r="A3389" s="20"/>
      <c r="B3389" s="20"/>
      <c r="C3389" s="18"/>
      <c r="D3389" s="18"/>
      <c r="E3389" s="18"/>
      <c r="F3389" s="18"/>
      <c r="G3389" s="18"/>
      <c r="H3389" s="18"/>
      <c r="I3389" s="18"/>
      <c r="J3389" s="20" t="s">
        <v>358</v>
      </c>
      <c r="K3389" s="23">
        <f>+K3386*K3387/K3388</f>
        <v>135.70369411764707</v>
      </c>
      <c r="L3389" s="20" t="s">
        <v>9</v>
      </c>
      <c r="M3389" s="43"/>
      <c r="O3389" s="43"/>
      <c r="P3389" s="672"/>
      <c r="Q3389" s="671"/>
      <c r="R3389" s="673"/>
    </row>
    <row r="3390" spans="1:21" ht="30" customHeight="1" thickBot="1" x14ac:dyDescent="0.3">
      <c r="A3390" s="20"/>
      <c r="B3390" s="20"/>
      <c r="C3390" s="18"/>
      <c r="D3390" s="18"/>
      <c r="E3390" s="18"/>
      <c r="F3390" s="18"/>
      <c r="G3390" s="413" t="s">
        <v>537</v>
      </c>
      <c r="H3390" s="18"/>
      <c r="I3390" s="18"/>
      <c r="J3390" s="361">
        <f>VLOOKUP(B3382,'Mil Cost Premiums for RUCs'!$A$4:$R$265,18,FALSE)</f>
        <v>1.3319480854780448</v>
      </c>
      <c r="K3390" s="23">
        <f>+K3389*J3390</f>
        <v>180.75027557229822</v>
      </c>
      <c r="L3390" s="20" t="s">
        <v>9</v>
      </c>
      <c r="M3390" s="419"/>
      <c r="O3390"/>
      <c r="P3390" s="412"/>
      <c r="Q3390" s="391"/>
      <c r="R3390" s="393"/>
    </row>
    <row r="3391" spans="1:21" ht="30" customHeight="1" thickBot="1" x14ac:dyDescent="0.3">
      <c r="A3391" s="76"/>
      <c r="B3391" s="77"/>
      <c r="C3391" s="77"/>
      <c r="D3391" s="77"/>
      <c r="E3391" s="77"/>
      <c r="F3391" s="77"/>
      <c r="G3391" s="77"/>
      <c r="H3391" s="77"/>
      <c r="I3391" s="77"/>
      <c r="J3391" s="77"/>
      <c r="K3391" s="77"/>
      <c r="L3391" s="78"/>
      <c r="O3391"/>
      <c r="P3391" s="412"/>
      <c r="Q3391" s="391"/>
      <c r="R3391" s="393"/>
    </row>
    <row r="3392" spans="1:21" ht="30" customHeight="1" x14ac:dyDescent="0.25">
      <c r="A3392" s="30" t="s">
        <v>288</v>
      </c>
      <c r="B3392" s="208">
        <v>7381</v>
      </c>
      <c r="C3392" s="209" t="s">
        <v>2244</v>
      </c>
      <c r="D3392" s="210"/>
      <c r="E3392" s="177" t="s">
        <v>291</v>
      </c>
      <c r="F3392" s="178" t="s">
        <v>9</v>
      </c>
      <c r="G3392" s="123" t="s">
        <v>375</v>
      </c>
      <c r="H3392" s="1425">
        <v>502</v>
      </c>
      <c r="I3392" s="177" t="s">
        <v>292</v>
      </c>
      <c r="J3392" s="38" t="s">
        <v>883</v>
      </c>
      <c r="K3392" s="38"/>
      <c r="L3392" s="389"/>
      <c r="M3392" s="1157"/>
      <c r="N3392" s="420"/>
      <c r="O3392"/>
      <c r="P3392" s="412"/>
      <c r="Q3392" s="391"/>
      <c r="R3392" s="393"/>
    </row>
    <row r="3393" spans="1:21" ht="30" customHeight="1" x14ac:dyDescent="0.25">
      <c r="A3393" s="48" t="s">
        <v>529</v>
      </c>
      <c r="B3393" s="394" t="s">
        <v>560</v>
      </c>
      <c r="C3393" s="395"/>
      <c r="D3393" s="396"/>
      <c r="E3393" s="397" t="s">
        <v>519</v>
      </c>
      <c r="F3393" s="397" t="s">
        <v>561</v>
      </c>
      <c r="G3393" s="398" t="s">
        <v>562</v>
      </c>
      <c r="H3393" s="399"/>
      <c r="I3393" s="181" t="s">
        <v>530</v>
      </c>
      <c r="J3393" s="181"/>
      <c r="K3393" s="288" t="s">
        <v>521</v>
      </c>
      <c r="L3393" s="289"/>
      <c r="M3393" s="1157"/>
      <c r="N3393" s="1356"/>
      <c r="O3393"/>
      <c r="P3393" s="412"/>
      <c r="Q3393" s="391"/>
      <c r="R3393" s="393"/>
    </row>
    <row r="3394" spans="1:21" ht="30" customHeight="1" x14ac:dyDescent="0.25">
      <c r="A3394" s="1334" t="s">
        <v>2245</v>
      </c>
      <c r="B3394" s="503" t="s">
        <v>2246</v>
      </c>
      <c r="C3394" s="504"/>
      <c r="D3394" s="505"/>
      <c r="E3394" s="405">
        <v>76.5</v>
      </c>
      <c r="F3394" s="22" t="s">
        <v>9</v>
      </c>
      <c r="G3394" s="1112"/>
      <c r="H3394" s="758"/>
      <c r="I3394" s="20">
        <v>1.06</v>
      </c>
      <c r="J3394" s="20"/>
      <c r="K3394" s="405">
        <f>+E3394*I3394</f>
        <v>81.09</v>
      </c>
      <c r="L3394" s="20" t="s">
        <v>9</v>
      </c>
      <c r="M3394" s="1368"/>
      <c r="N3394" s="1310"/>
      <c r="O3394"/>
      <c r="P3394" s="412"/>
      <c r="Q3394" s="391"/>
      <c r="R3394" s="393"/>
    </row>
    <row r="3395" spans="1:21" ht="30" customHeight="1" x14ac:dyDescent="0.25">
      <c r="A3395" s="61"/>
      <c r="B3395" s="410"/>
      <c r="C3395" s="410"/>
      <c r="D3395" s="410"/>
      <c r="E3395" s="405"/>
      <c r="F3395" s="338" t="s">
        <v>533</v>
      </c>
      <c r="G3395" s="339" t="s">
        <v>534</v>
      </c>
      <c r="H3395" s="339"/>
      <c r="I3395" s="339"/>
      <c r="J3395" s="339"/>
      <c r="K3395" s="340">
        <v>1.07</v>
      </c>
      <c r="L3395" s="10"/>
      <c r="M3395" s="1368"/>
      <c r="N3395" s="1310"/>
      <c r="O3395"/>
      <c r="P3395" s="412"/>
      <c r="Q3395" s="391"/>
      <c r="R3395" s="393"/>
    </row>
    <row r="3396" spans="1:21" ht="30" customHeight="1" x14ac:dyDescent="0.25">
      <c r="A3396" s="61"/>
      <c r="B3396" s="410"/>
      <c r="C3396" s="410"/>
      <c r="D3396" s="410"/>
      <c r="E3396" s="405"/>
      <c r="F3396" s="343"/>
      <c r="G3396" s="344" t="s">
        <v>535</v>
      </c>
      <c r="H3396" s="344"/>
      <c r="I3396" s="344"/>
      <c r="J3396" s="344"/>
      <c r="K3396" s="340">
        <v>1.02</v>
      </c>
      <c r="L3396" s="10"/>
      <c r="M3396" s="1368"/>
      <c r="N3396" s="420"/>
      <c r="O3396"/>
      <c r="P3396" s="412"/>
      <c r="Q3396" s="391"/>
      <c r="R3396" s="393"/>
    </row>
    <row r="3397" spans="1:21" ht="30" customHeight="1" x14ac:dyDescent="0.25">
      <c r="A3397" s="61"/>
      <c r="B3397" s="20"/>
      <c r="C3397" s="18"/>
      <c r="D3397" s="18"/>
      <c r="E3397" s="18"/>
      <c r="F3397" s="18"/>
      <c r="G3397" s="18"/>
      <c r="H3397" s="18"/>
      <c r="I3397" s="18"/>
      <c r="J3397" s="20" t="s">
        <v>358</v>
      </c>
      <c r="K3397" s="23">
        <f>+K3394*K3395/K3396</f>
        <v>85.065000000000012</v>
      </c>
      <c r="L3397" s="20" t="s">
        <v>9</v>
      </c>
      <c r="M3397" s="419"/>
      <c r="N3397" s="671"/>
      <c r="O3397"/>
      <c r="P3397" s="412"/>
      <c r="Q3397" s="391"/>
      <c r="R3397" s="393"/>
    </row>
    <row r="3398" spans="1:21" ht="30" customHeight="1" thickBot="1" x14ac:dyDescent="0.3">
      <c r="A3398" s="61"/>
      <c r="B3398" s="20"/>
      <c r="C3398" s="18"/>
      <c r="D3398" s="18"/>
      <c r="E3398" s="18"/>
      <c r="F3398" s="18"/>
      <c r="G3398" s="413" t="s">
        <v>537</v>
      </c>
      <c r="H3398" s="18"/>
      <c r="I3398" s="18"/>
      <c r="J3398" s="361">
        <f>VLOOKUP(B3392,'Mil Cost Premiums for RUCs'!$A$4:$R$265,18,FALSE)</f>
        <v>1.0209999999999999</v>
      </c>
      <c r="K3398" s="23">
        <f>+K3397*J3398</f>
        <v>86.851365000000001</v>
      </c>
      <c r="L3398" s="20" t="s">
        <v>9</v>
      </c>
      <c r="M3398" s="419"/>
      <c r="N3398" s="671"/>
      <c r="O3398"/>
      <c r="P3398" s="412"/>
      <c r="Q3398" s="391"/>
      <c r="R3398" s="393"/>
    </row>
    <row r="3399" spans="1:21" ht="30" customHeight="1" thickBot="1" x14ac:dyDescent="0.3">
      <c r="A3399" s="76"/>
      <c r="B3399" s="77"/>
      <c r="C3399" s="77"/>
      <c r="D3399" s="77"/>
      <c r="E3399" s="77"/>
      <c r="F3399" s="77"/>
      <c r="G3399" s="77"/>
      <c r="H3399" s="77"/>
      <c r="I3399" s="77"/>
      <c r="J3399" s="77"/>
      <c r="K3399" s="77"/>
      <c r="L3399" s="78"/>
      <c r="M3399" s="419"/>
      <c r="N3399" s="420"/>
      <c r="O3399"/>
      <c r="P3399" s="412"/>
      <c r="Q3399" s="391"/>
      <c r="R3399" s="393"/>
    </row>
    <row r="3400" spans="1:21" ht="30" customHeight="1" x14ac:dyDescent="0.25">
      <c r="A3400" s="30" t="s">
        <v>288</v>
      </c>
      <c r="B3400" s="208">
        <v>7382</v>
      </c>
      <c r="C3400" s="209" t="s">
        <v>2247</v>
      </c>
      <c r="D3400" s="210"/>
      <c r="E3400" s="177" t="s">
        <v>291</v>
      </c>
      <c r="F3400" s="178" t="s">
        <v>9</v>
      </c>
      <c r="G3400" s="123" t="s">
        <v>375</v>
      </c>
      <c r="H3400" s="302">
        <v>4062</v>
      </c>
      <c r="I3400" s="177" t="s">
        <v>292</v>
      </c>
      <c r="J3400" s="38" t="s">
        <v>883</v>
      </c>
      <c r="K3400" s="38"/>
      <c r="L3400" s="389"/>
      <c r="M3400" s="419"/>
      <c r="N3400" s="420"/>
      <c r="O3400"/>
      <c r="P3400" s="412"/>
      <c r="Q3400" s="391"/>
      <c r="R3400" s="393"/>
    </row>
    <row r="3401" spans="1:21" ht="30" customHeight="1" x14ac:dyDescent="0.25">
      <c r="A3401" s="48" t="s">
        <v>529</v>
      </c>
      <c r="B3401" s="394" t="s">
        <v>560</v>
      </c>
      <c r="C3401" s="395"/>
      <c r="D3401" s="396"/>
      <c r="E3401" s="397" t="s">
        <v>519</v>
      </c>
      <c r="F3401" s="397" t="s">
        <v>561</v>
      </c>
      <c r="G3401" s="398" t="s">
        <v>562</v>
      </c>
      <c r="H3401" s="399"/>
      <c r="I3401" s="181" t="s">
        <v>530</v>
      </c>
      <c r="J3401" s="181"/>
      <c r="K3401" s="288" t="s">
        <v>521</v>
      </c>
      <c r="L3401" s="289"/>
      <c r="M3401" s="419"/>
      <c r="N3401" s="420"/>
      <c r="O3401" s="42"/>
      <c r="P3401" s="41"/>
      <c r="Q3401" s="41"/>
      <c r="R3401" s="41"/>
      <c r="S3401" s="41"/>
      <c r="T3401" s="41"/>
      <c r="U3401" s="43"/>
    </row>
    <row r="3402" spans="1:21" ht="30" customHeight="1" x14ac:dyDescent="0.25">
      <c r="A3402" s="1334" t="s">
        <v>885</v>
      </c>
      <c r="B3402" s="503" t="s">
        <v>2057</v>
      </c>
      <c r="C3402" s="504"/>
      <c r="D3402" s="505"/>
      <c r="E3402" s="405">
        <v>133</v>
      </c>
      <c r="F3402" s="22" t="s">
        <v>9</v>
      </c>
      <c r="G3402" s="1112"/>
      <c r="H3402" s="758"/>
      <c r="I3402" s="20">
        <v>1.04</v>
      </c>
      <c r="J3402" s="20"/>
      <c r="K3402" s="405">
        <f>+E3402*I3402</f>
        <v>138.32</v>
      </c>
      <c r="L3402" s="20" t="s">
        <v>9</v>
      </c>
      <c r="M3402" s="419"/>
      <c r="N3402" s="420"/>
      <c r="U3402" s="43"/>
    </row>
    <row r="3403" spans="1:21" s="41" customFormat="1" ht="30" customHeight="1" x14ac:dyDescent="0.25">
      <c r="A3403" s="61" t="s">
        <v>888</v>
      </c>
      <c r="B3403" s="186" t="s">
        <v>2248</v>
      </c>
      <c r="C3403" s="186"/>
      <c r="D3403" s="186"/>
      <c r="E3403" s="405">
        <v>4.1500000000000004</v>
      </c>
      <c r="F3403" s="20" t="s">
        <v>9</v>
      </c>
      <c r="G3403" s="522"/>
      <c r="H3403" s="20"/>
      <c r="I3403" s="20">
        <v>1.04</v>
      </c>
      <c r="J3403" s="20"/>
      <c r="K3403" s="405">
        <f>+E3403*I3403</f>
        <v>4.3160000000000007</v>
      </c>
      <c r="L3403" s="20" t="s">
        <v>9</v>
      </c>
      <c r="M3403" s="419"/>
      <c r="N3403" s="420"/>
      <c r="O3403" s="27"/>
      <c r="P3403"/>
      <c r="Q3403"/>
      <c r="R3403"/>
      <c r="S3403"/>
      <c r="T3403"/>
    </row>
    <row r="3404" spans="1:21" s="49" customFormat="1" ht="30" customHeight="1" x14ac:dyDescent="0.25">
      <c r="A3404" s="61"/>
      <c r="B3404" s="20"/>
      <c r="C3404" s="18"/>
      <c r="D3404" s="18"/>
      <c r="E3404" s="18"/>
      <c r="F3404" s="18"/>
      <c r="G3404" s="18"/>
      <c r="H3404" s="18"/>
      <c r="I3404" s="18"/>
      <c r="J3404" s="20" t="s">
        <v>578</v>
      </c>
      <c r="K3404" s="23">
        <f>SUM(K3402:K3403)</f>
        <v>142.636</v>
      </c>
      <c r="L3404" s="20" t="s">
        <v>9</v>
      </c>
      <c r="M3404" s="419"/>
      <c r="N3404" s="420"/>
      <c r="O3404" s="27"/>
      <c r="P3404" s="50"/>
      <c r="Q3404" s="50"/>
      <c r="R3404" s="50"/>
      <c r="S3404" s="212"/>
      <c r="T3404" s="212"/>
    </row>
    <row r="3405" spans="1:21" ht="30" customHeight="1" x14ac:dyDescent="0.25">
      <c r="A3405" s="61"/>
      <c r="B3405" s="410"/>
      <c r="C3405" s="410"/>
      <c r="D3405" s="410"/>
      <c r="E3405" s="405"/>
      <c r="F3405" s="338" t="s">
        <v>533</v>
      </c>
      <c r="G3405" s="339" t="s">
        <v>534</v>
      </c>
      <c r="H3405" s="339"/>
      <c r="I3405" s="339"/>
      <c r="J3405" s="339"/>
      <c r="K3405" s="340">
        <v>1.07</v>
      </c>
      <c r="L3405" s="10"/>
      <c r="M3405" s="419"/>
      <c r="N3405" s="420"/>
      <c r="P3405" s="43"/>
      <c r="Q3405" s="43"/>
      <c r="R3405" s="43"/>
      <c r="S3405" s="60"/>
      <c r="T3405" s="60"/>
    </row>
    <row r="3406" spans="1:21" ht="30" customHeight="1" x14ac:dyDescent="0.25">
      <c r="A3406" s="61"/>
      <c r="B3406" s="410"/>
      <c r="C3406" s="410"/>
      <c r="D3406" s="410"/>
      <c r="E3406" s="405"/>
      <c r="F3406" s="343"/>
      <c r="G3406" s="344" t="s">
        <v>535</v>
      </c>
      <c r="H3406" s="344"/>
      <c r="I3406" s="344"/>
      <c r="J3406" s="344"/>
      <c r="K3406" s="340">
        <v>1.02</v>
      </c>
      <c r="L3406" s="10"/>
      <c r="M3406" s="419"/>
      <c r="N3406" s="420"/>
      <c r="O3406"/>
      <c r="P3406" s="412"/>
      <c r="Q3406" s="391"/>
      <c r="R3406" s="393"/>
    </row>
    <row r="3407" spans="1:21" ht="30" customHeight="1" x14ac:dyDescent="0.25">
      <c r="A3407" s="61"/>
      <c r="B3407" s="410"/>
      <c r="C3407" s="410"/>
      <c r="D3407" s="410"/>
      <c r="E3407" s="405"/>
      <c r="F3407" s="1415"/>
      <c r="G3407" s="1058"/>
      <c r="H3407" s="1058"/>
      <c r="I3407" s="1058"/>
      <c r="J3407" s="20" t="s">
        <v>358</v>
      </c>
      <c r="K3407" s="327">
        <f>+K3404*K3405/K3406</f>
        <v>149.62796078431373</v>
      </c>
      <c r="L3407" s="20" t="s">
        <v>9</v>
      </c>
      <c r="M3407" s="419"/>
      <c r="N3407" s="420"/>
      <c r="O3407"/>
      <c r="P3407" s="412"/>
      <c r="Q3407" s="391"/>
      <c r="R3407" s="393"/>
    </row>
    <row r="3408" spans="1:21" ht="30" customHeight="1" thickBot="1" x14ac:dyDescent="0.3">
      <c r="A3408" s="61"/>
      <c r="B3408" s="20"/>
      <c r="C3408" s="18"/>
      <c r="D3408" s="18"/>
      <c r="E3408" s="18"/>
      <c r="F3408" s="18"/>
      <c r="G3408" s="413" t="s">
        <v>537</v>
      </c>
      <c r="H3408" s="18"/>
      <c r="I3408" s="18"/>
      <c r="J3408" s="361">
        <f>VLOOKUP(B3400,'Mil Cost Premiums for RUCs'!$A$4:$R$265,18,FALSE)</f>
        <v>1.0209999999999999</v>
      </c>
      <c r="K3408" s="23">
        <f>+K3407*J3408</f>
        <v>152.7701479607843</v>
      </c>
      <c r="L3408" s="20" t="s">
        <v>9</v>
      </c>
      <c r="M3408" s="419"/>
      <c r="N3408" s="420"/>
      <c r="O3408"/>
      <c r="P3408" s="412"/>
      <c r="Q3408" s="391"/>
      <c r="R3408" s="393"/>
    </row>
    <row r="3409" spans="1:18" s="49" customFormat="1" ht="30" customHeight="1" thickBot="1" x14ac:dyDescent="0.3">
      <c r="A3409" s="76"/>
      <c r="B3409" s="77"/>
      <c r="C3409" s="77"/>
      <c r="D3409" s="77"/>
      <c r="E3409" s="77"/>
      <c r="F3409" s="77"/>
      <c r="G3409" s="77"/>
      <c r="H3409" s="77"/>
      <c r="I3409" s="77"/>
      <c r="J3409" s="77"/>
      <c r="K3409" s="77"/>
      <c r="L3409" s="78"/>
      <c r="M3409" s="419"/>
      <c r="N3409" s="420"/>
      <c r="P3409" s="412"/>
      <c r="Q3409" s="391"/>
      <c r="R3409" s="393"/>
    </row>
    <row r="3410" spans="1:18" ht="30" customHeight="1" x14ac:dyDescent="0.25">
      <c r="A3410" s="207" t="s">
        <v>288</v>
      </c>
      <c r="B3410" s="208">
        <v>7383</v>
      </c>
      <c r="C3410" s="282" t="s">
        <v>2249</v>
      </c>
      <c r="D3410" s="283"/>
      <c r="E3410" s="177" t="s">
        <v>291</v>
      </c>
      <c r="F3410" s="178" t="s">
        <v>9</v>
      </c>
      <c r="G3410" s="123" t="s">
        <v>375</v>
      </c>
      <c r="H3410" s="1425">
        <v>1701</v>
      </c>
      <c r="I3410" s="177" t="s">
        <v>292</v>
      </c>
      <c r="J3410" s="38" t="s">
        <v>1838</v>
      </c>
      <c r="K3410" s="39"/>
      <c r="L3410" s="40"/>
      <c r="N3410" s="420"/>
      <c r="O3410"/>
      <c r="P3410" s="412"/>
      <c r="Q3410" s="391"/>
      <c r="R3410" s="393"/>
    </row>
    <row r="3411" spans="1:18" ht="30" customHeight="1" x14ac:dyDescent="0.25">
      <c r="A3411" s="181" t="s">
        <v>517</v>
      </c>
      <c r="B3411" s="180" t="s">
        <v>295</v>
      </c>
      <c r="C3411" s="180"/>
      <c r="D3411" s="180"/>
      <c r="E3411" s="182" t="s">
        <v>518</v>
      </c>
      <c r="F3411" s="285" t="s">
        <v>519</v>
      </c>
      <c r="G3411" s="1314"/>
      <c r="H3411" s="1315"/>
      <c r="I3411" s="286" t="s">
        <v>520</v>
      </c>
      <c r="J3411" s="287"/>
      <c r="K3411" s="288" t="s">
        <v>521</v>
      </c>
      <c r="L3411" s="289"/>
      <c r="M3411" s="502"/>
      <c r="N3411" s="420"/>
      <c r="O3411"/>
      <c r="P3411" s="412"/>
      <c r="Q3411" s="391"/>
      <c r="R3411" s="393"/>
    </row>
    <row r="3412" spans="1:18" ht="30" customHeight="1" x14ac:dyDescent="0.25">
      <c r="A3412" s="290">
        <v>62010</v>
      </c>
      <c r="B3412" s="214" t="s">
        <v>1970</v>
      </c>
      <c r="C3412" s="214"/>
      <c r="D3412" s="214"/>
      <c r="E3412" s="291">
        <v>6000</v>
      </c>
      <c r="F3412" s="303">
        <v>235</v>
      </c>
      <c r="G3412" s="290"/>
      <c r="H3412" s="1127"/>
      <c r="I3412" s="1109">
        <f>+'MILCON Inflation Table'!F8</f>
        <v>1.2318227593152065</v>
      </c>
      <c r="J3412" s="1110"/>
      <c r="K3412" s="304">
        <f>+F3412*I3412</f>
        <v>289.4783484390735</v>
      </c>
      <c r="L3412" s="290" t="s">
        <v>9</v>
      </c>
      <c r="M3412" s="1426"/>
      <c r="N3412" s="342"/>
      <c r="O3412"/>
      <c r="P3412" s="412"/>
      <c r="Q3412" s="391"/>
      <c r="R3412" s="393"/>
    </row>
    <row r="3413" spans="1:18" ht="30" customHeight="1" thickBot="1" x14ac:dyDescent="0.3">
      <c r="A3413" s="20"/>
      <c r="B3413" s="191"/>
      <c r="C3413" s="191"/>
      <c r="D3413" s="191"/>
      <c r="E3413" s="297"/>
      <c r="F3413" s="298"/>
      <c r="G3413" s="298"/>
      <c r="H3413" s="299"/>
      <c r="I3413" s="18"/>
      <c r="J3413" s="185" t="s">
        <v>358</v>
      </c>
      <c r="K3413" s="305">
        <f>+K3412</f>
        <v>289.4783484390735</v>
      </c>
      <c r="L3413" s="20" t="s">
        <v>9</v>
      </c>
      <c r="N3413" s="502"/>
      <c r="O3413" s="43"/>
      <c r="P3413" s="672"/>
      <c r="Q3413" s="671"/>
      <c r="R3413" s="673"/>
    </row>
    <row r="3414" spans="1:18" ht="30" customHeight="1" thickBot="1" x14ac:dyDescent="0.3">
      <c r="A3414" s="76"/>
      <c r="B3414" s="77"/>
      <c r="C3414" s="77"/>
      <c r="D3414" s="77"/>
      <c r="E3414" s="77"/>
      <c r="F3414" s="77"/>
      <c r="G3414" s="77"/>
      <c r="H3414" s="77"/>
      <c r="I3414" s="77"/>
      <c r="J3414" s="77"/>
      <c r="K3414" s="77"/>
      <c r="L3414" s="78"/>
      <c r="M3414" s="43"/>
      <c r="N3414" s="1427"/>
      <c r="O3414" s="43"/>
      <c r="P3414" s="672"/>
      <c r="Q3414" s="671"/>
      <c r="R3414" s="673"/>
    </row>
    <row r="3415" spans="1:18" ht="30" customHeight="1" x14ac:dyDescent="0.25">
      <c r="A3415" s="207" t="s">
        <v>288</v>
      </c>
      <c r="B3415" s="208">
        <v>7384</v>
      </c>
      <c r="C3415" s="209" t="s">
        <v>2250</v>
      </c>
      <c r="D3415" s="210"/>
      <c r="E3415" s="177" t="s">
        <v>291</v>
      </c>
      <c r="F3415" s="178" t="s">
        <v>9</v>
      </c>
      <c r="G3415" s="123" t="s">
        <v>375</v>
      </c>
      <c r="H3415" s="179">
        <v>327</v>
      </c>
      <c r="I3415" s="177" t="s">
        <v>292</v>
      </c>
      <c r="J3415" s="38" t="s">
        <v>883</v>
      </c>
      <c r="K3415" s="38"/>
      <c r="L3415" s="389"/>
      <c r="O3415"/>
      <c r="P3415" s="412"/>
      <c r="Q3415" s="391"/>
      <c r="R3415" s="393"/>
    </row>
    <row r="3416" spans="1:18" ht="30" customHeight="1" x14ac:dyDescent="0.25">
      <c r="A3416" s="185" t="s">
        <v>529</v>
      </c>
      <c r="B3416" s="394" t="s">
        <v>560</v>
      </c>
      <c r="C3416" s="395"/>
      <c r="D3416" s="396"/>
      <c r="E3416" s="397" t="s">
        <v>519</v>
      </c>
      <c r="F3416" s="397" t="s">
        <v>561</v>
      </c>
      <c r="G3416" s="398" t="s">
        <v>562</v>
      </c>
      <c r="H3416" s="399"/>
      <c r="I3416" s="181" t="s">
        <v>530</v>
      </c>
      <c r="J3416" s="181"/>
      <c r="K3416" s="288" t="s">
        <v>521</v>
      </c>
      <c r="L3416" s="289"/>
      <c r="M3416" s="425"/>
      <c r="O3416"/>
      <c r="P3416" s="412"/>
      <c r="Q3416" s="391"/>
      <c r="R3416" s="393"/>
    </row>
    <row r="3417" spans="1:18" ht="30" customHeight="1" x14ac:dyDescent="0.25">
      <c r="A3417" s="778" t="s">
        <v>849</v>
      </c>
      <c r="B3417" s="503" t="s">
        <v>2251</v>
      </c>
      <c r="C3417" s="504"/>
      <c r="D3417" s="505"/>
      <c r="E3417" s="405">
        <f>+(17.1+43.25)/2</f>
        <v>30.175000000000001</v>
      </c>
      <c r="F3417" s="22" t="s">
        <v>9</v>
      </c>
      <c r="G3417" s="20"/>
      <c r="H3417" s="20"/>
      <c r="I3417" s="20">
        <v>1.04</v>
      </c>
      <c r="J3417" s="20"/>
      <c r="K3417" s="405">
        <f>+E3417*I3417</f>
        <v>31.382000000000001</v>
      </c>
      <c r="L3417" s="20" t="s">
        <v>9</v>
      </c>
      <c r="M3417" s="419"/>
      <c r="N3417" s="1343"/>
      <c r="O3417"/>
      <c r="P3417" s="412"/>
      <c r="Q3417" s="391"/>
      <c r="R3417" s="393"/>
    </row>
    <row r="3418" spans="1:18" ht="30" customHeight="1" x14ac:dyDescent="0.25">
      <c r="A3418" s="778" t="s">
        <v>849</v>
      </c>
      <c r="B3418" s="402" t="s">
        <v>2252</v>
      </c>
      <c r="C3418" s="403"/>
      <c r="D3418" s="404"/>
      <c r="E3418" s="405">
        <f>+(84.5+232)/2</f>
        <v>158.25</v>
      </c>
      <c r="F3418" s="22" t="s">
        <v>11</v>
      </c>
      <c r="G3418" s="20">
        <f>1/327</f>
        <v>3.0581039755351682E-3</v>
      </c>
      <c r="H3418" s="20" t="s">
        <v>900</v>
      </c>
      <c r="I3418" s="20">
        <v>1.04</v>
      </c>
      <c r="J3418" s="20">
        <v>2</v>
      </c>
      <c r="K3418" s="405">
        <f>E3418*G3418*J3418</f>
        <v>0.9678899082568807</v>
      </c>
      <c r="L3418" s="20" t="s">
        <v>9</v>
      </c>
      <c r="M3418" s="1368"/>
      <c r="N3418" s="420"/>
      <c r="O3418"/>
      <c r="P3418" s="412"/>
      <c r="Q3418" s="391"/>
      <c r="R3418" s="393"/>
    </row>
    <row r="3419" spans="1:18" s="49" customFormat="1" ht="30" customHeight="1" x14ac:dyDescent="0.25">
      <c r="A3419" s="1333" t="s">
        <v>2160</v>
      </c>
      <c r="B3419" s="186" t="s">
        <v>2253</v>
      </c>
      <c r="C3419" s="186"/>
      <c r="D3419" s="186"/>
      <c r="E3419" s="405">
        <v>65.8</v>
      </c>
      <c r="F3419" s="20" t="s">
        <v>9</v>
      </c>
      <c r="G3419" s="522"/>
      <c r="H3419" s="20"/>
      <c r="I3419" s="20">
        <v>1.04</v>
      </c>
      <c r="J3419" s="20"/>
      <c r="K3419" s="405">
        <f>+E3419*I3419</f>
        <v>68.432000000000002</v>
      </c>
      <c r="L3419" s="20" t="s">
        <v>9</v>
      </c>
      <c r="M3419" s="1368"/>
      <c r="N3419" s="420"/>
      <c r="P3419" s="412"/>
      <c r="Q3419" s="391"/>
      <c r="R3419" s="393"/>
    </row>
    <row r="3420" spans="1:18" ht="30" customHeight="1" x14ac:dyDescent="0.25">
      <c r="A3420" s="1333"/>
      <c r="B3420" s="410"/>
      <c r="C3420" s="410"/>
      <c r="D3420" s="410"/>
      <c r="E3420" s="405"/>
      <c r="F3420" s="20"/>
      <c r="G3420" s="522"/>
      <c r="H3420" s="20"/>
      <c r="I3420" s="20"/>
      <c r="J3420" s="606" t="s">
        <v>2254</v>
      </c>
      <c r="K3420" s="405">
        <f>((K3417+K3418)+K3419)/2</f>
        <v>50.390944954128443</v>
      </c>
      <c r="L3420" s="20" t="s">
        <v>9</v>
      </c>
      <c r="M3420" s="670"/>
      <c r="N3420" s="420"/>
      <c r="O3420"/>
      <c r="P3420" s="412"/>
      <c r="Q3420" s="391"/>
      <c r="R3420" s="393"/>
    </row>
    <row r="3421" spans="1:18" ht="30" customHeight="1" x14ac:dyDescent="0.25">
      <c r="A3421" s="20"/>
      <c r="B3421" s="410"/>
      <c r="C3421" s="410"/>
      <c r="D3421" s="410"/>
      <c r="E3421" s="405"/>
      <c r="F3421" s="338" t="s">
        <v>533</v>
      </c>
      <c r="G3421" s="339" t="s">
        <v>534</v>
      </c>
      <c r="H3421" s="339"/>
      <c r="I3421" s="339"/>
      <c r="J3421" s="339"/>
      <c r="K3421" s="340">
        <v>1.07</v>
      </c>
      <c r="L3421" s="10"/>
      <c r="M3421" s="670"/>
      <c r="N3421" s="420"/>
      <c r="O3421" s="43"/>
      <c r="P3421" s="672"/>
      <c r="Q3421" s="671"/>
      <c r="R3421" s="673"/>
    </row>
    <row r="3422" spans="1:18" ht="30" customHeight="1" x14ac:dyDescent="0.25">
      <c r="A3422" s="20"/>
      <c r="B3422" s="410"/>
      <c r="C3422" s="410"/>
      <c r="D3422" s="410"/>
      <c r="E3422" s="405"/>
      <c r="F3422" s="343"/>
      <c r="G3422" s="344" t="s">
        <v>535</v>
      </c>
      <c r="H3422" s="344"/>
      <c r="I3422" s="344"/>
      <c r="J3422" s="344"/>
      <c r="K3422" s="340">
        <v>1.02</v>
      </c>
      <c r="L3422" s="10"/>
      <c r="M3422" s="419"/>
      <c r="N3422" s="671"/>
      <c r="O3422" s="43"/>
      <c r="P3422" s="672"/>
      <c r="Q3422" s="671"/>
      <c r="R3422" s="673"/>
    </row>
    <row r="3423" spans="1:18" ht="30" customHeight="1" x14ac:dyDescent="0.25">
      <c r="A3423" s="20"/>
      <c r="B3423" s="20"/>
      <c r="C3423" s="18"/>
      <c r="D3423" s="18"/>
      <c r="E3423" s="18"/>
      <c r="F3423" s="18"/>
      <c r="G3423" s="18"/>
      <c r="H3423" s="18"/>
      <c r="I3423" s="18"/>
      <c r="J3423" s="18" t="s">
        <v>358</v>
      </c>
      <c r="K3423" s="23">
        <f>+K3420*K3421/K3422</f>
        <v>52.861089314624934</v>
      </c>
      <c r="L3423" s="20" t="s">
        <v>9</v>
      </c>
      <c r="M3423" s="419"/>
      <c r="N3423" s="671"/>
      <c r="O3423"/>
      <c r="P3423" s="412"/>
      <c r="Q3423" s="391"/>
      <c r="R3423" s="393"/>
    </row>
    <row r="3424" spans="1:18" ht="30" customHeight="1" thickBot="1" x14ac:dyDescent="0.3">
      <c r="A3424" s="20"/>
      <c r="B3424" s="20"/>
      <c r="C3424" s="18"/>
      <c r="D3424" s="18"/>
      <c r="E3424" s="18"/>
      <c r="F3424" s="18"/>
      <c r="G3424" s="413" t="s">
        <v>537</v>
      </c>
      <c r="H3424" s="18"/>
      <c r="I3424" s="18"/>
      <c r="J3424" s="361">
        <f>VLOOKUP(B3415,'Mil Cost Premiums for RUCs'!$A$4:$R$265,18,FALSE)</f>
        <v>1.0209999999999999</v>
      </c>
      <c r="K3424" s="23">
        <f>+K3423*J3424</f>
        <v>53.971172190232053</v>
      </c>
      <c r="L3424" s="20" t="s">
        <v>9</v>
      </c>
      <c r="M3424" s="419"/>
      <c r="N3424" s="420"/>
      <c r="O3424"/>
      <c r="P3424" s="412"/>
      <c r="Q3424" s="391"/>
      <c r="R3424" s="393"/>
    </row>
    <row r="3425" spans="1:21" ht="30" customHeight="1" thickBot="1" x14ac:dyDescent="0.3">
      <c r="A3425" s="76"/>
      <c r="B3425" s="77"/>
      <c r="C3425" s="77"/>
      <c r="D3425" s="77"/>
      <c r="E3425" s="77"/>
      <c r="F3425" s="77"/>
      <c r="G3425" s="77"/>
      <c r="H3425" s="77"/>
      <c r="I3425" s="77"/>
      <c r="J3425" s="77"/>
      <c r="K3425" s="77"/>
      <c r="L3425" s="78"/>
      <c r="M3425" s="419"/>
      <c r="N3425" s="420"/>
      <c r="O3425"/>
      <c r="P3425" s="412"/>
      <c r="Q3425" s="391"/>
      <c r="R3425" s="393"/>
    </row>
    <row r="3426" spans="1:21" ht="30" customHeight="1" x14ac:dyDescent="0.25">
      <c r="A3426" s="30" t="s">
        <v>288</v>
      </c>
      <c r="B3426" s="208">
        <v>7385</v>
      </c>
      <c r="C3426" s="209" t="s">
        <v>2255</v>
      </c>
      <c r="D3426" s="210"/>
      <c r="E3426" s="177" t="s">
        <v>291</v>
      </c>
      <c r="F3426" s="178" t="s">
        <v>9</v>
      </c>
      <c r="G3426" s="123" t="s">
        <v>375</v>
      </c>
      <c r="H3426" s="179">
        <v>649</v>
      </c>
      <c r="I3426" s="177" t="s">
        <v>292</v>
      </c>
      <c r="J3426" s="38" t="s">
        <v>883</v>
      </c>
      <c r="K3426" s="38"/>
      <c r="L3426" s="389"/>
      <c r="M3426" s="425"/>
      <c r="N3426" s="420"/>
      <c r="O3426"/>
      <c r="P3426" s="412"/>
      <c r="Q3426" s="391"/>
      <c r="R3426" s="393"/>
    </row>
    <row r="3427" spans="1:21" s="49" customFormat="1" ht="30" customHeight="1" x14ac:dyDescent="0.25">
      <c r="A3427" s="48" t="s">
        <v>529</v>
      </c>
      <c r="B3427" s="394" t="s">
        <v>560</v>
      </c>
      <c r="C3427" s="395"/>
      <c r="D3427" s="396"/>
      <c r="E3427" s="397" t="s">
        <v>519</v>
      </c>
      <c r="F3427" s="397" t="s">
        <v>561</v>
      </c>
      <c r="G3427" s="398" t="s">
        <v>562</v>
      </c>
      <c r="H3427" s="399"/>
      <c r="I3427" s="181" t="s">
        <v>530</v>
      </c>
      <c r="J3427" s="181"/>
      <c r="K3427" s="288" t="s">
        <v>521</v>
      </c>
      <c r="L3427" s="289"/>
      <c r="M3427" s="419"/>
      <c r="N3427" s="420"/>
      <c r="P3427" s="412"/>
      <c r="Q3427" s="391"/>
      <c r="R3427" s="393"/>
    </row>
    <row r="3428" spans="1:21" ht="30" customHeight="1" x14ac:dyDescent="0.25">
      <c r="A3428" s="1334" t="s">
        <v>2256</v>
      </c>
      <c r="B3428" s="503" t="s">
        <v>2257</v>
      </c>
      <c r="C3428" s="504"/>
      <c r="D3428" s="505"/>
      <c r="E3428" s="405">
        <v>146</v>
      </c>
      <c r="F3428" s="22" t="s">
        <v>9</v>
      </c>
      <c r="G3428" s="1428"/>
      <c r="H3428" s="1429"/>
      <c r="I3428" s="20">
        <v>1.04</v>
      </c>
      <c r="J3428" s="20"/>
      <c r="K3428" s="405">
        <f>+E3428*I3428</f>
        <v>151.84</v>
      </c>
      <c r="L3428" s="20" t="s">
        <v>9</v>
      </c>
      <c r="M3428" s="670"/>
      <c r="N3428" s="420"/>
      <c r="O3428"/>
      <c r="P3428" s="412"/>
      <c r="Q3428" s="391"/>
      <c r="R3428" s="393"/>
    </row>
    <row r="3429" spans="1:21" ht="30" customHeight="1" x14ac:dyDescent="0.25">
      <c r="A3429" s="61" t="s">
        <v>888</v>
      </c>
      <c r="B3429" s="186" t="s">
        <v>2258</v>
      </c>
      <c r="C3429" s="186"/>
      <c r="D3429" s="186"/>
      <c r="E3429" s="405">
        <v>4.49</v>
      </c>
      <c r="F3429" s="20" t="s">
        <v>9</v>
      </c>
      <c r="G3429" s="522"/>
      <c r="H3429" s="20"/>
      <c r="I3429" s="20">
        <v>1.04</v>
      </c>
      <c r="J3429" s="20"/>
      <c r="K3429" s="405">
        <f>+E3429*I3429</f>
        <v>4.6696</v>
      </c>
      <c r="L3429" s="20" t="s">
        <v>9</v>
      </c>
      <c r="M3429" s="670"/>
      <c r="N3429" s="420"/>
      <c r="O3429"/>
      <c r="P3429" s="412"/>
      <c r="Q3429" s="391"/>
      <c r="R3429" s="393"/>
    </row>
    <row r="3430" spans="1:21" ht="30" customHeight="1" x14ac:dyDescent="0.25">
      <c r="A3430" s="61"/>
      <c r="B3430" s="20"/>
      <c r="C3430" s="18"/>
      <c r="D3430" s="18"/>
      <c r="E3430" s="18"/>
      <c r="F3430" s="18"/>
      <c r="G3430" s="18"/>
      <c r="H3430" s="18"/>
      <c r="I3430" s="18"/>
      <c r="J3430" s="20" t="s">
        <v>578</v>
      </c>
      <c r="K3430" s="23">
        <f>SUM(K3428:K3429)</f>
        <v>156.50960000000001</v>
      </c>
      <c r="L3430" s="20" t="s">
        <v>9</v>
      </c>
      <c r="M3430" s="419"/>
      <c r="N3430" s="671"/>
      <c r="O3430"/>
      <c r="P3430" s="412"/>
      <c r="Q3430" s="391"/>
      <c r="R3430" s="393"/>
    </row>
    <row r="3431" spans="1:21" ht="30" customHeight="1" x14ac:dyDescent="0.25">
      <c r="A3431" s="61"/>
      <c r="B3431" s="410"/>
      <c r="C3431" s="410"/>
      <c r="D3431" s="410"/>
      <c r="E3431" s="405"/>
      <c r="F3431" s="338" t="s">
        <v>533</v>
      </c>
      <c r="G3431" s="339" t="s">
        <v>534</v>
      </c>
      <c r="H3431" s="339"/>
      <c r="I3431" s="339"/>
      <c r="J3431" s="339"/>
      <c r="K3431" s="340">
        <v>1.07</v>
      </c>
      <c r="L3431" s="10"/>
      <c r="M3431" s="419"/>
      <c r="N3431" s="671"/>
      <c r="O3431" s="43"/>
      <c r="P3431" s="672"/>
      <c r="Q3431" s="671"/>
      <c r="R3431" s="673"/>
    </row>
    <row r="3432" spans="1:21" ht="30" customHeight="1" x14ac:dyDescent="0.25">
      <c r="A3432" s="61"/>
      <c r="B3432" s="410"/>
      <c r="C3432" s="410"/>
      <c r="D3432" s="410"/>
      <c r="E3432" s="405"/>
      <c r="F3432" s="343"/>
      <c r="G3432" s="344" t="s">
        <v>535</v>
      </c>
      <c r="H3432" s="344"/>
      <c r="I3432" s="344"/>
      <c r="J3432" s="344"/>
      <c r="K3432" s="340">
        <v>1.02</v>
      </c>
      <c r="L3432" s="10"/>
      <c r="M3432" s="419"/>
      <c r="N3432" s="420"/>
      <c r="O3432" s="43"/>
      <c r="P3432" s="672"/>
      <c r="Q3432" s="671"/>
      <c r="R3432" s="673"/>
    </row>
    <row r="3433" spans="1:21" ht="30" customHeight="1" x14ac:dyDescent="0.25">
      <c r="A3433" s="61"/>
      <c r="B3433" s="20"/>
      <c r="C3433" s="18"/>
      <c r="D3433" s="18"/>
      <c r="E3433" s="18"/>
      <c r="F3433" s="18"/>
      <c r="G3433" s="18"/>
      <c r="H3433" s="18"/>
      <c r="I3433" s="18"/>
      <c r="J3433" s="18" t="s">
        <v>358</v>
      </c>
      <c r="K3433" s="23">
        <f>+K3430*K3431/K3432</f>
        <v>164.18163921568629</v>
      </c>
      <c r="L3433" s="20" t="s">
        <v>9</v>
      </c>
      <c r="M3433" s="419"/>
      <c r="N3433" s="420"/>
      <c r="O3433" s="43"/>
      <c r="P3433" s="672"/>
      <c r="Q3433" s="671"/>
      <c r="R3433" s="673"/>
    </row>
    <row r="3434" spans="1:21" ht="30" customHeight="1" thickBot="1" x14ac:dyDescent="0.3">
      <c r="A3434" s="61"/>
      <c r="B3434" s="20"/>
      <c r="C3434" s="18"/>
      <c r="D3434" s="18"/>
      <c r="E3434" s="18"/>
      <c r="F3434" s="18"/>
      <c r="G3434" s="413" t="s">
        <v>537</v>
      </c>
      <c r="H3434" s="18"/>
      <c r="I3434" s="18"/>
      <c r="J3434" s="361">
        <f>VLOOKUP(B3426,'Mil Cost Premiums for RUCs'!$A$4:$R$265,18,FALSE)</f>
        <v>1.1141416296059998</v>
      </c>
      <c r="K3434" s="23">
        <f>+K3433*J3434</f>
        <v>182.92159906714906</v>
      </c>
      <c r="L3434" s="20" t="s">
        <v>9</v>
      </c>
      <c r="M3434" s="425"/>
      <c r="N3434" s="420"/>
      <c r="O3434" s="43"/>
      <c r="P3434" s="672"/>
      <c r="Q3434" s="671"/>
      <c r="R3434" s="673"/>
    </row>
    <row r="3435" spans="1:21" ht="30" customHeight="1" thickBot="1" x14ac:dyDescent="0.3">
      <c r="A3435" s="76"/>
      <c r="B3435" s="77"/>
      <c r="C3435" s="77"/>
      <c r="D3435" s="77"/>
      <c r="E3435" s="77"/>
      <c r="F3435" s="77"/>
      <c r="G3435" s="77"/>
      <c r="H3435" s="77"/>
      <c r="I3435" s="77"/>
      <c r="J3435" s="77"/>
      <c r="K3435" s="77"/>
      <c r="L3435" s="78"/>
      <c r="M3435" s="419"/>
      <c r="N3435" s="420"/>
      <c r="O3435"/>
      <c r="P3435" s="412"/>
      <c r="Q3435" s="391"/>
      <c r="R3435" s="393"/>
    </row>
    <row r="3436" spans="1:21" ht="30" customHeight="1" x14ac:dyDescent="0.25">
      <c r="A3436" s="30" t="s">
        <v>288</v>
      </c>
      <c r="B3436" s="208">
        <v>7386</v>
      </c>
      <c r="C3436" s="209" t="s">
        <v>2259</v>
      </c>
      <c r="D3436" s="210"/>
      <c r="E3436" s="177" t="s">
        <v>291</v>
      </c>
      <c r="F3436" s="178" t="s">
        <v>9</v>
      </c>
      <c r="G3436" s="123" t="s">
        <v>375</v>
      </c>
      <c r="H3436" s="179">
        <v>15970</v>
      </c>
      <c r="I3436" s="177" t="s">
        <v>292</v>
      </c>
      <c r="J3436" s="38" t="s">
        <v>883</v>
      </c>
      <c r="K3436" s="38"/>
      <c r="L3436" s="389"/>
      <c r="M3436" s="419"/>
      <c r="N3436" s="420"/>
      <c r="O3436"/>
      <c r="P3436" s="412"/>
      <c r="Q3436" s="391"/>
      <c r="R3436" s="393"/>
    </row>
    <row r="3437" spans="1:21" s="41" customFormat="1" ht="30" customHeight="1" x14ac:dyDescent="0.25">
      <c r="A3437" s="48" t="s">
        <v>529</v>
      </c>
      <c r="B3437" s="394" t="s">
        <v>560</v>
      </c>
      <c r="C3437" s="395"/>
      <c r="D3437" s="396"/>
      <c r="E3437" s="397" t="s">
        <v>519</v>
      </c>
      <c r="F3437" s="397" t="s">
        <v>561</v>
      </c>
      <c r="G3437" s="398" t="s">
        <v>562</v>
      </c>
      <c r="H3437" s="399"/>
      <c r="I3437" s="181" t="s">
        <v>530</v>
      </c>
      <c r="J3437" s="181"/>
      <c r="K3437" s="288" t="s">
        <v>521</v>
      </c>
      <c r="L3437" s="289"/>
      <c r="M3437" s="419"/>
      <c r="N3437" s="420"/>
      <c r="O3437" s="27"/>
      <c r="P3437"/>
      <c r="Q3437"/>
      <c r="R3437"/>
      <c r="S3437"/>
      <c r="T3437"/>
    </row>
    <row r="3438" spans="1:21" s="49" customFormat="1" ht="30" customHeight="1" x14ac:dyDescent="0.25">
      <c r="A3438" s="1334" t="s">
        <v>2260</v>
      </c>
      <c r="B3438" s="503" t="s">
        <v>2261</v>
      </c>
      <c r="C3438" s="504"/>
      <c r="D3438" s="505"/>
      <c r="E3438" s="405">
        <v>149</v>
      </c>
      <c r="F3438" s="22" t="s">
        <v>9</v>
      </c>
      <c r="G3438" s="1428"/>
      <c r="H3438" s="1429"/>
      <c r="I3438" s="20">
        <v>1.04</v>
      </c>
      <c r="J3438" s="20"/>
      <c r="K3438" s="405">
        <f>+E3438*I3438</f>
        <v>154.96</v>
      </c>
      <c r="L3438" s="20" t="s">
        <v>9</v>
      </c>
      <c r="M3438" s="670"/>
      <c r="N3438" s="420"/>
      <c r="O3438" s="27"/>
      <c r="P3438" s="50"/>
      <c r="Q3438" s="50"/>
      <c r="R3438" s="50"/>
      <c r="S3438" s="212"/>
      <c r="T3438" s="212"/>
    </row>
    <row r="3439" spans="1:21" ht="30" customHeight="1" x14ac:dyDescent="0.25">
      <c r="A3439" s="61" t="s">
        <v>888</v>
      </c>
      <c r="B3439" s="186" t="s">
        <v>2262</v>
      </c>
      <c r="C3439" s="186"/>
      <c r="D3439" s="186"/>
      <c r="E3439" s="405">
        <v>3.48</v>
      </c>
      <c r="F3439" s="20" t="s">
        <v>9</v>
      </c>
      <c r="G3439" s="522"/>
      <c r="H3439" s="20"/>
      <c r="I3439" s="20">
        <v>1.04</v>
      </c>
      <c r="J3439" s="20"/>
      <c r="K3439" s="405">
        <f>+E3439*I3439</f>
        <v>3.6192000000000002</v>
      </c>
      <c r="L3439" s="20" t="s">
        <v>9</v>
      </c>
      <c r="N3439" s="420"/>
      <c r="P3439" s="43"/>
      <c r="Q3439" s="43"/>
      <c r="R3439" s="43"/>
      <c r="S3439" s="60"/>
      <c r="T3439" s="60"/>
    </row>
    <row r="3440" spans="1:21" ht="30" customHeight="1" x14ac:dyDescent="0.25">
      <c r="A3440" s="61"/>
      <c r="B3440" s="20"/>
      <c r="C3440" s="18"/>
      <c r="D3440" s="18"/>
      <c r="E3440" s="18"/>
      <c r="F3440" s="18"/>
      <c r="G3440" s="18"/>
      <c r="H3440" s="18"/>
      <c r="I3440" s="18"/>
      <c r="J3440" s="20" t="s">
        <v>578</v>
      </c>
      <c r="K3440" s="23">
        <f>SUM(K3438:K3439)</f>
        <v>158.57920000000001</v>
      </c>
      <c r="L3440" s="20" t="s">
        <v>9</v>
      </c>
      <c r="M3440" s="670"/>
      <c r="N3440" s="671"/>
      <c r="P3440" s="43"/>
      <c r="Q3440" s="43"/>
      <c r="R3440" s="43"/>
      <c r="S3440" s="60"/>
      <c r="T3440" s="60"/>
      <c r="U3440" s="43"/>
    </row>
    <row r="3441" spans="1:21" ht="30" customHeight="1" x14ac:dyDescent="0.25">
      <c r="A3441" s="61"/>
      <c r="B3441" s="410"/>
      <c r="C3441" s="410"/>
      <c r="D3441" s="410"/>
      <c r="E3441" s="405"/>
      <c r="F3441" s="338" t="s">
        <v>533</v>
      </c>
      <c r="G3441" s="339" t="s">
        <v>534</v>
      </c>
      <c r="H3441" s="339"/>
      <c r="I3441" s="339"/>
      <c r="J3441" s="339"/>
      <c r="K3441" s="340">
        <v>1.07</v>
      </c>
      <c r="L3441" s="10"/>
      <c r="M3441" s="670"/>
      <c r="N3441" s="1365"/>
      <c r="O3441" s="42"/>
      <c r="P3441" s="41"/>
      <c r="Q3441" s="41"/>
      <c r="R3441" s="41"/>
      <c r="S3441" s="41"/>
      <c r="T3441" s="41"/>
      <c r="U3441" s="43"/>
    </row>
    <row r="3442" spans="1:21" ht="30" customHeight="1" x14ac:dyDescent="0.25">
      <c r="A3442" s="61"/>
      <c r="B3442" s="410"/>
      <c r="C3442" s="410"/>
      <c r="D3442" s="410"/>
      <c r="E3442" s="405"/>
      <c r="F3442" s="343"/>
      <c r="G3442" s="344" t="s">
        <v>535</v>
      </c>
      <c r="H3442" s="344"/>
      <c r="I3442" s="344"/>
      <c r="J3442" s="344"/>
      <c r="K3442" s="340">
        <v>1.02</v>
      </c>
      <c r="L3442" s="10"/>
      <c r="M3442" s="419"/>
      <c r="N3442" s="671"/>
      <c r="O3442"/>
      <c r="P3442" s="412"/>
      <c r="Q3442" s="391"/>
      <c r="R3442" s="393"/>
    </row>
    <row r="3443" spans="1:21" s="49" customFormat="1" ht="30" customHeight="1" x14ac:dyDescent="0.25">
      <c r="A3443" s="61"/>
      <c r="B3443" s="20"/>
      <c r="C3443" s="18"/>
      <c r="D3443" s="18"/>
      <c r="E3443" s="18"/>
      <c r="F3443" s="18"/>
      <c r="G3443" s="18"/>
      <c r="H3443" s="18"/>
      <c r="I3443" s="18"/>
      <c r="J3443" s="20" t="s">
        <v>358</v>
      </c>
      <c r="K3443" s="23">
        <f>+K3440*K3441/K3442</f>
        <v>166.35269019607847</v>
      </c>
      <c r="L3443" s="20" t="s">
        <v>9</v>
      </c>
      <c r="M3443" s="419"/>
      <c r="N3443" s="671"/>
      <c r="P3443" s="412"/>
      <c r="Q3443" s="391"/>
      <c r="R3443" s="393"/>
    </row>
    <row r="3444" spans="1:21" ht="30" customHeight="1" thickBot="1" x14ac:dyDescent="0.3">
      <c r="A3444" s="61"/>
      <c r="B3444" s="20"/>
      <c r="C3444" s="18"/>
      <c r="D3444" s="18"/>
      <c r="E3444" s="18"/>
      <c r="F3444" s="18"/>
      <c r="G3444" s="413" t="s">
        <v>537</v>
      </c>
      <c r="H3444" s="18"/>
      <c r="I3444" s="18"/>
      <c r="J3444" s="361">
        <f>VLOOKUP(B3436,'Mil Cost Premiums for RUCs'!$A$4:$R$265,18,FALSE)</f>
        <v>1.3319480854780448</v>
      </c>
      <c r="K3444" s="23">
        <f>+K3443*J3444</f>
        <v>221.57314722078902</v>
      </c>
      <c r="L3444" s="20" t="s">
        <v>9</v>
      </c>
      <c r="M3444" s="419"/>
      <c r="N3444" s="420"/>
      <c r="O3444"/>
      <c r="P3444" s="412"/>
      <c r="Q3444" s="391"/>
      <c r="R3444" s="393"/>
    </row>
    <row r="3445" spans="1:21" ht="30" customHeight="1" thickBot="1" x14ac:dyDescent="0.3">
      <c r="A3445" s="76"/>
      <c r="B3445" s="77"/>
      <c r="C3445" s="77"/>
      <c r="D3445" s="77"/>
      <c r="E3445" s="77"/>
      <c r="F3445" s="77"/>
      <c r="G3445" s="77"/>
      <c r="H3445" s="77"/>
      <c r="I3445" s="77"/>
      <c r="J3445" s="77"/>
      <c r="K3445" s="77"/>
      <c r="L3445" s="78"/>
      <c r="M3445" s="425"/>
      <c r="N3445" s="420"/>
      <c r="O3445"/>
      <c r="P3445" s="412"/>
      <c r="Q3445" s="391"/>
      <c r="R3445" s="393"/>
    </row>
    <row r="3446" spans="1:21" ht="30" customHeight="1" x14ac:dyDescent="0.25">
      <c r="A3446" s="30" t="s">
        <v>288</v>
      </c>
      <c r="B3446" s="208">
        <v>7387</v>
      </c>
      <c r="C3446" s="209" t="s">
        <v>2263</v>
      </c>
      <c r="D3446" s="210"/>
      <c r="E3446" s="177" t="s">
        <v>291</v>
      </c>
      <c r="F3446" s="178" t="s">
        <v>9</v>
      </c>
      <c r="G3446" s="123" t="s">
        <v>375</v>
      </c>
      <c r="H3446" s="179">
        <v>8122</v>
      </c>
      <c r="I3446" s="177" t="s">
        <v>292</v>
      </c>
      <c r="J3446" s="38" t="s">
        <v>1504</v>
      </c>
      <c r="K3446" s="38"/>
      <c r="L3446" s="389"/>
      <c r="M3446" s="341"/>
      <c r="N3446" s="420"/>
      <c r="O3446"/>
      <c r="P3446" s="412"/>
      <c r="Q3446" s="391"/>
      <c r="R3446" s="393"/>
    </row>
    <row r="3447" spans="1:21" ht="30" customHeight="1" x14ac:dyDescent="0.25">
      <c r="A3447" s="48" t="s">
        <v>529</v>
      </c>
      <c r="B3447" s="394" t="s">
        <v>560</v>
      </c>
      <c r="C3447" s="395"/>
      <c r="D3447" s="396"/>
      <c r="E3447" s="397" t="s">
        <v>519</v>
      </c>
      <c r="F3447" s="397" t="s">
        <v>561</v>
      </c>
      <c r="G3447" s="398" t="s">
        <v>562</v>
      </c>
      <c r="H3447" s="399"/>
      <c r="I3447" s="181" t="s">
        <v>530</v>
      </c>
      <c r="J3447" s="181"/>
      <c r="K3447" s="288" t="s">
        <v>521</v>
      </c>
      <c r="L3447" s="289"/>
      <c r="N3447" s="420"/>
      <c r="O3447" s="43"/>
      <c r="P3447" s="672"/>
      <c r="Q3447" s="671"/>
      <c r="R3447" s="673"/>
    </row>
    <row r="3448" spans="1:21" ht="30" customHeight="1" x14ac:dyDescent="0.25">
      <c r="A3448" s="1334" t="s">
        <v>2157</v>
      </c>
      <c r="B3448" s="503" t="s">
        <v>2158</v>
      </c>
      <c r="C3448" s="504"/>
      <c r="D3448" s="505"/>
      <c r="E3448" s="405">
        <v>80.34</v>
      </c>
      <c r="F3448" s="22" t="s">
        <v>9</v>
      </c>
      <c r="G3448" s="1112"/>
      <c r="H3448" s="758"/>
      <c r="I3448" s="20">
        <v>1.06</v>
      </c>
      <c r="J3448" s="751"/>
      <c r="K3448" s="405">
        <f>+E3448*I3448</f>
        <v>85.16040000000001</v>
      </c>
      <c r="L3448" s="20" t="s">
        <v>9</v>
      </c>
      <c r="M3448" s="43"/>
      <c r="O3448" s="43"/>
      <c r="P3448" s="672"/>
      <c r="Q3448" s="671"/>
      <c r="R3448" s="673"/>
    </row>
    <row r="3449" spans="1:21" ht="30" customHeight="1" x14ac:dyDescent="0.25">
      <c r="A3449" s="1334" t="s">
        <v>662</v>
      </c>
      <c r="B3449" s="503" t="s">
        <v>2264</v>
      </c>
      <c r="C3449" s="504"/>
      <c r="D3449" s="505"/>
      <c r="E3449" s="405">
        <v>48.88</v>
      </c>
      <c r="F3449" s="22" t="s">
        <v>9</v>
      </c>
      <c r="G3449" s="1112"/>
      <c r="H3449" s="758"/>
      <c r="I3449" s="20">
        <v>1.05</v>
      </c>
      <c r="J3449" s="751"/>
      <c r="K3449" s="405">
        <f>+E3449*I3449</f>
        <v>51.324000000000005</v>
      </c>
      <c r="L3449" s="20" t="s">
        <v>9</v>
      </c>
      <c r="O3449"/>
      <c r="P3449" s="412"/>
      <c r="Q3449" s="391"/>
      <c r="R3449" s="393"/>
    </row>
    <row r="3450" spans="1:21" ht="30" customHeight="1" x14ac:dyDescent="0.25">
      <c r="A3450" s="1334" t="s">
        <v>2005</v>
      </c>
      <c r="B3450" s="503" t="s">
        <v>2006</v>
      </c>
      <c r="C3450" s="504"/>
      <c r="D3450" s="505"/>
      <c r="E3450" s="405">
        <v>109.26</v>
      </c>
      <c r="F3450" s="22" t="s">
        <v>9</v>
      </c>
      <c r="G3450" s="1112"/>
      <c r="H3450" s="758"/>
      <c r="I3450" s="20">
        <v>1.06</v>
      </c>
      <c r="J3450" s="20"/>
      <c r="K3450" s="405">
        <f>+E3450*I3450</f>
        <v>115.81560000000002</v>
      </c>
      <c r="L3450" s="20" t="s">
        <v>9</v>
      </c>
      <c r="M3450" s="502"/>
      <c r="O3450"/>
      <c r="P3450" s="412"/>
      <c r="Q3450" s="391"/>
      <c r="R3450" s="393"/>
    </row>
    <row r="3451" spans="1:21" ht="30" customHeight="1" x14ac:dyDescent="0.25">
      <c r="A3451" s="1334" t="s">
        <v>2265</v>
      </c>
      <c r="B3451" s="503" t="s">
        <v>2266</v>
      </c>
      <c r="C3451" s="504"/>
      <c r="D3451" s="505"/>
      <c r="E3451" s="405">
        <v>54.94</v>
      </c>
      <c r="F3451" s="22" t="s">
        <v>9</v>
      </c>
      <c r="G3451" s="1112"/>
      <c r="H3451" s="758"/>
      <c r="I3451" s="20">
        <v>1.05</v>
      </c>
      <c r="J3451" s="20"/>
      <c r="K3451" s="405">
        <f>+E3451*I3451</f>
        <v>57.686999999999998</v>
      </c>
      <c r="L3451" s="20" t="s">
        <v>9</v>
      </c>
      <c r="M3451" s="419"/>
      <c r="O3451"/>
      <c r="P3451" s="412"/>
      <c r="Q3451" s="391"/>
      <c r="R3451" s="393"/>
    </row>
    <row r="3452" spans="1:21" ht="30" customHeight="1" x14ac:dyDescent="0.25">
      <c r="A3452" s="1334"/>
      <c r="B3452" s="503" t="s">
        <v>2267</v>
      </c>
      <c r="C3452" s="324"/>
      <c r="D3452" s="325"/>
      <c r="E3452" s="405"/>
      <c r="F3452" s="1112"/>
      <c r="G3452" s="1112"/>
      <c r="H3452" s="758"/>
      <c r="I3452" s="649"/>
      <c r="J3452" s="20" t="s">
        <v>536</v>
      </c>
      <c r="K3452" s="405">
        <f>AVERAGE(K3448:K3451)</f>
        <v>77.496750000000006</v>
      </c>
      <c r="L3452" s="20" t="s">
        <v>9</v>
      </c>
      <c r="M3452" s="419"/>
      <c r="N3452" s="1894"/>
      <c r="O3452"/>
      <c r="P3452" s="412"/>
      <c r="Q3452" s="391"/>
      <c r="R3452" s="393"/>
    </row>
    <row r="3453" spans="1:21" s="49" customFormat="1" ht="30" customHeight="1" x14ac:dyDescent="0.25">
      <c r="A3453" s="1334" t="s">
        <v>644</v>
      </c>
      <c r="B3453" s="186" t="s">
        <v>2243</v>
      </c>
      <c r="C3453" s="186"/>
      <c r="D3453" s="186"/>
      <c r="E3453" s="405">
        <v>3.4</v>
      </c>
      <c r="F3453" s="1112" t="s">
        <v>9</v>
      </c>
      <c r="G3453" s="1112"/>
      <c r="H3453" s="758"/>
      <c r="I3453" s="20">
        <v>1.05</v>
      </c>
      <c r="J3453" s="20"/>
      <c r="K3453" s="405">
        <f>+E3453*I3453</f>
        <v>3.57</v>
      </c>
      <c r="L3453" s="20" t="s">
        <v>9</v>
      </c>
      <c r="M3453" s="419"/>
      <c r="N3453" s="420"/>
      <c r="P3453" s="412"/>
      <c r="Q3453" s="391"/>
      <c r="R3453" s="393"/>
    </row>
    <row r="3454" spans="1:21" ht="30" customHeight="1" x14ac:dyDescent="0.25">
      <c r="A3454" s="61"/>
      <c r="B3454" s="186"/>
      <c r="C3454" s="186"/>
      <c r="D3454" s="186"/>
      <c r="E3454" s="405"/>
      <c r="F3454" s="20"/>
      <c r="G3454" s="522"/>
      <c r="H3454" s="20"/>
      <c r="I3454" s="20"/>
      <c r="J3454" s="20" t="s">
        <v>578</v>
      </c>
      <c r="K3454" s="1294">
        <f>SUM(K3452:K3453)</f>
        <v>81.066749999999999</v>
      </c>
      <c r="L3454" s="20" t="s">
        <v>9</v>
      </c>
      <c r="M3454" s="670"/>
      <c r="N3454" s="420"/>
      <c r="O3454"/>
      <c r="P3454" s="412"/>
      <c r="Q3454" s="391"/>
      <c r="R3454" s="393"/>
    </row>
    <row r="3455" spans="1:21" ht="30" customHeight="1" x14ac:dyDescent="0.25">
      <c r="A3455" s="61"/>
      <c r="B3455" s="410"/>
      <c r="C3455" s="410"/>
      <c r="D3455" s="410"/>
      <c r="E3455" s="405"/>
      <c r="F3455" s="338" t="s">
        <v>533</v>
      </c>
      <c r="G3455" s="339" t="s">
        <v>534</v>
      </c>
      <c r="H3455" s="339"/>
      <c r="I3455" s="339"/>
      <c r="J3455" s="339"/>
      <c r="K3455" s="340">
        <v>1.07</v>
      </c>
      <c r="L3455" s="10"/>
      <c r="M3455" s="670"/>
      <c r="N3455" s="420"/>
      <c r="O3455"/>
      <c r="P3455" s="412"/>
      <c r="Q3455" s="391"/>
      <c r="R3455" s="393"/>
    </row>
    <row r="3456" spans="1:21" ht="30" customHeight="1" x14ac:dyDescent="0.25">
      <c r="A3456" s="61"/>
      <c r="B3456" s="410"/>
      <c r="C3456" s="410"/>
      <c r="D3456" s="410"/>
      <c r="E3456" s="405"/>
      <c r="F3456" s="343"/>
      <c r="G3456" s="344" t="s">
        <v>535</v>
      </c>
      <c r="H3456" s="344"/>
      <c r="I3456" s="344"/>
      <c r="J3456" s="344"/>
      <c r="K3456" s="340">
        <v>1.02</v>
      </c>
      <c r="L3456" s="10"/>
      <c r="M3456" s="419"/>
      <c r="N3456" s="671"/>
      <c r="O3456"/>
      <c r="P3456" s="412"/>
      <c r="Q3456" s="391"/>
      <c r="R3456" s="393"/>
    </row>
    <row r="3457" spans="1:18" ht="30" customHeight="1" x14ac:dyDescent="0.25">
      <c r="A3457" s="61"/>
      <c r="B3457" s="20"/>
      <c r="C3457" s="18"/>
      <c r="D3457" s="18"/>
      <c r="E3457" s="18"/>
      <c r="F3457" s="18"/>
      <c r="G3457" s="18"/>
      <c r="H3457" s="18"/>
      <c r="I3457" s="18"/>
      <c r="J3457" s="20" t="s">
        <v>358</v>
      </c>
      <c r="K3457" s="23">
        <f>+K3454*K3455/K3456</f>
        <v>85.040610294117641</v>
      </c>
      <c r="L3457" s="20" t="s">
        <v>9</v>
      </c>
      <c r="M3457" s="419"/>
      <c r="N3457" s="671"/>
      <c r="O3457" s="43"/>
      <c r="P3457" s="672"/>
      <c r="Q3457" s="671"/>
      <c r="R3457" s="673"/>
    </row>
    <row r="3458" spans="1:18" ht="30" customHeight="1" thickBot="1" x14ac:dyDescent="0.3">
      <c r="A3458" s="61"/>
      <c r="B3458" s="20"/>
      <c r="C3458" s="18"/>
      <c r="D3458" s="18"/>
      <c r="E3458" s="18"/>
      <c r="F3458" s="18"/>
      <c r="G3458" s="413" t="s">
        <v>537</v>
      </c>
      <c r="H3458" s="18"/>
      <c r="I3458" s="18"/>
      <c r="J3458" s="361">
        <f>VLOOKUP(B3446,'Mil Cost Premiums for RUCs'!$A$4:$R$265,18,FALSE)</f>
        <v>1.0209999999999999</v>
      </c>
      <c r="K3458" s="23">
        <f>+K3457*J3458</f>
        <v>86.8264631102941</v>
      </c>
      <c r="L3458" s="20" t="s">
        <v>9</v>
      </c>
      <c r="M3458" s="419"/>
      <c r="N3458" s="420"/>
      <c r="O3458" s="43"/>
      <c r="P3458" s="672"/>
      <c r="Q3458" s="671"/>
      <c r="R3458" s="673"/>
    </row>
    <row r="3459" spans="1:18" ht="30" customHeight="1" thickBot="1" x14ac:dyDescent="0.3">
      <c r="A3459" s="76"/>
      <c r="B3459" s="77"/>
      <c r="C3459" s="77"/>
      <c r="D3459" s="77"/>
      <c r="E3459" s="77"/>
      <c r="F3459" s="77"/>
      <c r="G3459" s="77"/>
      <c r="H3459" s="77"/>
      <c r="I3459" s="77"/>
      <c r="J3459" s="77"/>
      <c r="K3459" s="77"/>
      <c r="L3459" s="78"/>
      <c r="M3459" s="419"/>
      <c r="N3459" s="420"/>
      <c r="O3459"/>
      <c r="P3459" s="412"/>
      <c r="Q3459" s="391"/>
      <c r="R3459" s="393"/>
    </row>
    <row r="3460" spans="1:18" ht="30" customHeight="1" x14ac:dyDescent="0.25">
      <c r="A3460" s="207" t="s">
        <v>288</v>
      </c>
      <c r="B3460" s="208">
        <v>7388</v>
      </c>
      <c r="C3460" s="282" t="s">
        <v>2268</v>
      </c>
      <c r="D3460" s="283"/>
      <c r="E3460" s="177" t="s">
        <v>291</v>
      </c>
      <c r="F3460" s="178" t="s">
        <v>9</v>
      </c>
      <c r="G3460" s="123" t="s">
        <v>375</v>
      </c>
      <c r="H3460" s="302">
        <v>47102</v>
      </c>
      <c r="I3460" s="177" t="s">
        <v>292</v>
      </c>
      <c r="J3460" s="38" t="s">
        <v>623</v>
      </c>
      <c r="K3460" s="39"/>
      <c r="L3460" s="40"/>
      <c r="M3460" s="425"/>
      <c r="N3460" s="420"/>
      <c r="O3460"/>
      <c r="P3460" s="412"/>
      <c r="Q3460" s="391"/>
      <c r="R3460" s="393"/>
    </row>
    <row r="3461" spans="1:18" ht="30" customHeight="1" x14ac:dyDescent="0.25">
      <c r="A3461" s="181" t="s">
        <v>517</v>
      </c>
      <c r="B3461" s="180" t="s">
        <v>295</v>
      </c>
      <c r="C3461" s="180"/>
      <c r="D3461" s="180"/>
      <c r="E3461" s="285" t="s">
        <v>519</v>
      </c>
      <c r="F3461" s="181" t="s">
        <v>518</v>
      </c>
      <c r="G3461" s="665" t="s">
        <v>562</v>
      </c>
      <c r="H3461" s="666"/>
      <c r="I3461" s="286" t="s">
        <v>520</v>
      </c>
      <c r="J3461" s="287"/>
      <c r="K3461" s="288" t="s">
        <v>521</v>
      </c>
      <c r="L3461" s="289"/>
      <c r="M3461" s="419"/>
      <c r="N3461" s="420"/>
      <c r="O3461"/>
      <c r="P3461" s="412"/>
      <c r="Q3461" s="391"/>
      <c r="R3461" s="393"/>
    </row>
    <row r="3462" spans="1:18" ht="30" customHeight="1" x14ac:dyDescent="0.25">
      <c r="A3462" s="20">
        <v>44220</v>
      </c>
      <c r="B3462" s="402" t="s">
        <v>2269</v>
      </c>
      <c r="C3462" s="403"/>
      <c r="D3462" s="404"/>
      <c r="E3462" s="405">
        <v>195</v>
      </c>
      <c r="F3462" s="729">
        <v>26000</v>
      </c>
      <c r="G3462" s="1126"/>
      <c r="H3462" s="680"/>
      <c r="I3462" s="1109">
        <f>+'MILCON Inflation Table'!F17</f>
        <v>0.9432470865927236</v>
      </c>
      <c r="J3462" s="1110"/>
      <c r="K3462" s="304">
        <f>+E3462*I3462</f>
        <v>183.93318188558109</v>
      </c>
      <c r="L3462" s="290" t="s">
        <v>9</v>
      </c>
      <c r="M3462" s="419"/>
      <c r="N3462" s="420"/>
      <c r="O3462"/>
      <c r="P3462" s="412"/>
      <c r="Q3462" s="391"/>
      <c r="R3462" s="393"/>
    </row>
    <row r="3463" spans="1:18" s="49" customFormat="1" ht="30" customHeight="1" thickBot="1" x14ac:dyDescent="0.3">
      <c r="A3463" s="20"/>
      <c r="B3463" s="503"/>
      <c r="C3463" s="504"/>
      <c r="D3463" s="505"/>
      <c r="E3463" s="465"/>
      <c r="F3463" s="763"/>
      <c r="G3463" s="465"/>
      <c r="H3463" s="764"/>
      <c r="I3463" s="18"/>
      <c r="J3463" s="185" t="s">
        <v>358</v>
      </c>
      <c r="K3463" s="305">
        <f>SUM(K3462:K3462)</f>
        <v>183.93318188558109</v>
      </c>
      <c r="L3463" s="290" t="s">
        <v>9</v>
      </c>
      <c r="M3463" s="419"/>
      <c r="N3463" s="420"/>
      <c r="P3463" s="412"/>
      <c r="Q3463" s="391"/>
      <c r="R3463" s="393"/>
    </row>
    <row r="3464" spans="1:18" ht="30" customHeight="1" thickBot="1" x14ac:dyDescent="0.3">
      <c r="A3464" s="76"/>
      <c r="B3464" s="77"/>
      <c r="C3464" s="77"/>
      <c r="D3464" s="77"/>
      <c r="E3464" s="77"/>
      <c r="F3464" s="77"/>
      <c r="G3464" s="77"/>
      <c r="H3464" s="77"/>
      <c r="I3464" s="77"/>
      <c r="J3464" s="77"/>
      <c r="K3464" s="77"/>
      <c r="L3464" s="78"/>
      <c r="M3464" s="670"/>
      <c r="N3464" s="420"/>
      <c r="O3464"/>
      <c r="P3464" s="412"/>
      <c r="Q3464" s="391"/>
      <c r="R3464" s="393"/>
    </row>
    <row r="3465" spans="1:18" ht="30" customHeight="1" x14ac:dyDescent="0.25">
      <c r="A3465" s="207" t="s">
        <v>288</v>
      </c>
      <c r="B3465" s="208">
        <v>7389</v>
      </c>
      <c r="C3465" s="282" t="s">
        <v>2270</v>
      </c>
      <c r="D3465" s="283"/>
      <c r="E3465" s="177" t="s">
        <v>291</v>
      </c>
      <c r="F3465" s="178" t="s">
        <v>9</v>
      </c>
      <c r="G3465" s="123" t="s">
        <v>375</v>
      </c>
      <c r="H3465" s="302">
        <v>4267</v>
      </c>
      <c r="I3465" s="177" t="s">
        <v>292</v>
      </c>
      <c r="J3465" s="38" t="s">
        <v>2271</v>
      </c>
      <c r="K3465" s="39"/>
      <c r="L3465" s="40"/>
      <c r="M3465" s="670"/>
      <c r="N3465" s="420"/>
      <c r="O3465"/>
      <c r="P3465" s="412"/>
      <c r="Q3465" s="391"/>
      <c r="R3465" s="393"/>
    </row>
    <row r="3466" spans="1:18" ht="30" customHeight="1" x14ac:dyDescent="0.25">
      <c r="A3466" s="181" t="s">
        <v>517</v>
      </c>
      <c r="B3466" s="180" t="s">
        <v>295</v>
      </c>
      <c r="C3466" s="180"/>
      <c r="D3466" s="180"/>
      <c r="E3466" s="285" t="s">
        <v>519</v>
      </c>
      <c r="F3466" s="181" t="s">
        <v>518</v>
      </c>
      <c r="G3466" s="665" t="s">
        <v>562</v>
      </c>
      <c r="H3466" s="666"/>
      <c r="I3466" s="286" t="s">
        <v>520</v>
      </c>
      <c r="J3466" s="287"/>
      <c r="K3466" s="493" t="s">
        <v>521</v>
      </c>
      <c r="L3466" s="494"/>
      <c r="M3466" s="419"/>
      <c r="N3466" s="671"/>
      <c r="O3466"/>
      <c r="P3466" s="412"/>
      <c r="Q3466" s="391"/>
      <c r="R3466" s="393"/>
    </row>
    <row r="3467" spans="1:18" ht="30" customHeight="1" x14ac:dyDescent="0.25">
      <c r="A3467" s="20">
        <v>14113</v>
      </c>
      <c r="B3467" s="503" t="s">
        <v>2272</v>
      </c>
      <c r="C3467" s="504"/>
      <c r="D3467" s="505"/>
      <c r="E3467" s="405">
        <v>144</v>
      </c>
      <c r="F3467" s="729">
        <v>2300</v>
      </c>
      <c r="G3467" s="1126"/>
      <c r="H3467" s="680"/>
      <c r="I3467" s="1109">
        <f>+'MILCON Inflation Table'!F12</f>
        <v>1.0795163710175624</v>
      </c>
      <c r="J3467" s="1110"/>
      <c r="K3467" s="304">
        <f>+E3467*I3467</f>
        <v>155.45035742652897</v>
      </c>
      <c r="L3467" s="290" t="s">
        <v>9</v>
      </c>
      <c r="M3467" s="419"/>
      <c r="N3467" s="671"/>
      <c r="O3467" s="43"/>
      <c r="P3467" s="672"/>
      <c r="Q3467" s="671"/>
      <c r="R3467" s="673"/>
    </row>
    <row r="3468" spans="1:18" ht="30" customHeight="1" thickBot="1" x14ac:dyDescent="0.3">
      <c r="A3468" s="20"/>
      <c r="B3468" s="503"/>
      <c r="C3468" s="504"/>
      <c r="D3468" s="505"/>
      <c r="E3468" s="465"/>
      <c r="F3468" s="763"/>
      <c r="G3468" s="465"/>
      <c r="H3468" s="764"/>
      <c r="I3468" s="18"/>
      <c r="J3468" s="185" t="s">
        <v>358</v>
      </c>
      <c r="K3468" s="305">
        <f>SUM(K3467:K3467)</f>
        <v>155.45035742652897</v>
      </c>
      <c r="L3468" s="290" t="s">
        <v>9</v>
      </c>
      <c r="M3468" s="419"/>
      <c r="N3468" s="420"/>
      <c r="O3468" s="43"/>
      <c r="P3468" s="672"/>
      <c r="Q3468" s="671"/>
      <c r="R3468" s="673"/>
    </row>
    <row r="3469" spans="1:18" ht="30" customHeight="1" thickBot="1" x14ac:dyDescent="0.3">
      <c r="A3469" s="76"/>
      <c r="B3469" s="77"/>
      <c r="C3469" s="77"/>
      <c r="D3469" s="77"/>
      <c r="E3469" s="77"/>
      <c r="F3469" s="77"/>
      <c r="G3469" s="77"/>
      <c r="H3469" s="77"/>
      <c r="I3469" s="77"/>
      <c r="J3469" s="77"/>
      <c r="K3469" s="77"/>
      <c r="L3469" s="78"/>
      <c r="M3469" s="419"/>
      <c r="N3469" s="420"/>
      <c r="O3469"/>
      <c r="P3469" s="412"/>
      <c r="Q3469" s="391"/>
      <c r="R3469" s="393"/>
    </row>
    <row r="3470" spans="1:18" ht="30" customHeight="1" x14ac:dyDescent="0.25">
      <c r="A3470" s="30" t="s">
        <v>288</v>
      </c>
      <c r="B3470" s="208">
        <v>7411</v>
      </c>
      <c r="C3470" s="209" t="s">
        <v>2273</v>
      </c>
      <c r="D3470" s="210"/>
      <c r="E3470" s="177" t="s">
        <v>291</v>
      </c>
      <c r="F3470" s="178" t="s">
        <v>9</v>
      </c>
      <c r="G3470" s="123" t="s">
        <v>375</v>
      </c>
      <c r="H3470" s="179">
        <v>8324</v>
      </c>
      <c r="I3470" s="177" t="s">
        <v>292</v>
      </c>
      <c r="J3470" s="38" t="s">
        <v>883</v>
      </c>
      <c r="K3470" s="38"/>
      <c r="L3470" s="389"/>
      <c r="M3470" s="425"/>
      <c r="N3470" s="420"/>
      <c r="O3470"/>
      <c r="P3470" s="412"/>
      <c r="Q3470" s="391"/>
      <c r="R3470" s="393"/>
    </row>
    <row r="3471" spans="1:18" ht="30" customHeight="1" x14ac:dyDescent="0.25">
      <c r="A3471" s="48" t="s">
        <v>529</v>
      </c>
      <c r="B3471" s="394" t="s">
        <v>560</v>
      </c>
      <c r="C3471" s="395"/>
      <c r="D3471" s="396"/>
      <c r="E3471" s="397" t="s">
        <v>519</v>
      </c>
      <c r="F3471" s="397" t="s">
        <v>561</v>
      </c>
      <c r="G3471" s="398" t="s">
        <v>562</v>
      </c>
      <c r="H3471" s="399"/>
      <c r="I3471" s="181" t="s">
        <v>530</v>
      </c>
      <c r="J3471" s="181"/>
      <c r="K3471" s="288" t="s">
        <v>521</v>
      </c>
      <c r="L3471" s="289"/>
      <c r="M3471" s="419"/>
      <c r="N3471" s="420"/>
      <c r="O3471"/>
      <c r="P3471" s="412"/>
      <c r="Q3471" s="391"/>
      <c r="R3471" s="393"/>
    </row>
    <row r="3472" spans="1:18" ht="30" customHeight="1" x14ac:dyDescent="0.25">
      <c r="A3472" s="1334" t="s">
        <v>2241</v>
      </c>
      <c r="B3472" s="503" t="s">
        <v>2242</v>
      </c>
      <c r="C3472" s="504"/>
      <c r="D3472" s="505"/>
      <c r="E3472" s="405">
        <v>117.9</v>
      </c>
      <c r="F3472" s="22" t="s">
        <v>9</v>
      </c>
      <c r="G3472" s="1428"/>
      <c r="H3472" s="1429"/>
      <c r="I3472" s="20">
        <v>1.06</v>
      </c>
      <c r="J3472" s="20"/>
      <c r="K3472" s="405">
        <f>+E3472*I3472</f>
        <v>124.97400000000002</v>
      </c>
      <c r="L3472" s="20" t="s">
        <v>9</v>
      </c>
      <c r="M3472" s="419"/>
      <c r="N3472" s="420"/>
      <c r="O3472"/>
      <c r="P3472" s="412"/>
      <c r="Q3472" s="391"/>
      <c r="R3472" s="393"/>
    </row>
    <row r="3473" spans="1:21" s="49" customFormat="1" ht="30" customHeight="1" x14ac:dyDescent="0.25">
      <c r="A3473" s="61" t="s">
        <v>691</v>
      </c>
      <c r="B3473" s="186" t="s">
        <v>2274</v>
      </c>
      <c r="C3473" s="186"/>
      <c r="D3473" s="186"/>
      <c r="E3473" s="405">
        <v>3.71</v>
      </c>
      <c r="F3473" s="20" t="s">
        <v>9</v>
      </c>
      <c r="G3473" s="522"/>
      <c r="H3473" s="20"/>
      <c r="I3473" s="20">
        <v>1.06</v>
      </c>
      <c r="J3473" s="20"/>
      <c r="K3473" s="405">
        <f>+E3473*I3473</f>
        <v>3.9326000000000003</v>
      </c>
      <c r="L3473" s="20" t="s">
        <v>9</v>
      </c>
      <c r="M3473" s="419"/>
      <c r="N3473" s="420"/>
      <c r="P3473" s="412"/>
      <c r="Q3473" s="391"/>
      <c r="R3473" s="393"/>
    </row>
    <row r="3474" spans="1:21" ht="30" customHeight="1" x14ac:dyDescent="0.25">
      <c r="A3474" s="61"/>
      <c r="B3474" s="20"/>
      <c r="C3474" s="18"/>
      <c r="D3474" s="18"/>
      <c r="E3474" s="18"/>
      <c r="F3474" s="18"/>
      <c r="G3474" s="18"/>
      <c r="H3474" s="18"/>
      <c r="I3474" s="18"/>
      <c r="J3474" s="20" t="s">
        <v>578</v>
      </c>
      <c r="K3474" s="23">
        <f>SUM(K3472:K3473)</f>
        <v>128.90660000000003</v>
      </c>
      <c r="L3474" s="20" t="s">
        <v>9</v>
      </c>
      <c r="M3474" s="670"/>
      <c r="N3474" s="420"/>
      <c r="O3474"/>
      <c r="P3474" s="412"/>
      <c r="Q3474" s="391"/>
      <c r="R3474" s="393"/>
    </row>
    <row r="3475" spans="1:21" ht="30" customHeight="1" x14ac:dyDescent="0.25">
      <c r="A3475" s="61"/>
      <c r="B3475" s="410"/>
      <c r="C3475" s="410"/>
      <c r="D3475" s="410"/>
      <c r="E3475" s="405"/>
      <c r="F3475" s="338" t="s">
        <v>533</v>
      </c>
      <c r="G3475" s="339" t="s">
        <v>534</v>
      </c>
      <c r="H3475" s="339"/>
      <c r="I3475" s="339"/>
      <c r="J3475" s="339"/>
      <c r="K3475" s="340">
        <v>1.07</v>
      </c>
      <c r="L3475" s="10"/>
      <c r="M3475" s="670"/>
      <c r="N3475" s="420"/>
      <c r="O3475"/>
      <c r="P3475" s="412"/>
      <c r="Q3475" s="391"/>
      <c r="R3475" s="393"/>
    </row>
    <row r="3476" spans="1:21" ht="30" customHeight="1" x14ac:dyDescent="0.25">
      <c r="A3476" s="61"/>
      <c r="B3476" s="410"/>
      <c r="C3476" s="410"/>
      <c r="D3476" s="410"/>
      <c r="E3476" s="405"/>
      <c r="F3476" s="343"/>
      <c r="G3476" s="344" t="s">
        <v>535</v>
      </c>
      <c r="H3476" s="344"/>
      <c r="I3476" s="344"/>
      <c r="J3476" s="344"/>
      <c r="K3476" s="340">
        <v>1.02</v>
      </c>
      <c r="L3476" s="10"/>
      <c r="M3476" s="419"/>
      <c r="N3476" s="671"/>
      <c r="O3476"/>
      <c r="P3476" s="412"/>
      <c r="Q3476" s="391"/>
      <c r="R3476" s="393"/>
    </row>
    <row r="3477" spans="1:21" ht="30" customHeight="1" x14ac:dyDescent="0.25">
      <c r="A3477" s="61"/>
      <c r="B3477" s="20"/>
      <c r="C3477" s="18"/>
      <c r="D3477" s="18"/>
      <c r="E3477" s="18"/>
      <c r="F3477" s="18"/>
      <c r="G3477" s="18"/>
      <c r="H3477" s="18"/>
      <c r="I3477" s="18"/>
      <c r="J3477" s="20" t="s">
        <v>358</v>
      </c>
      <c r="K3477" s="23">
        <f>+K3474*K3475/K3476</f>
        <v>135.2255509803922</v>
      </c>
      <c r="L3477" s="20" t="s">
        <v>9</v>
      </c>
      <c r="M3477" s="419"/>
      <c r="N3477" s="671"/>
      <c r="O3477"/>
      <c r="P3477" s="412"/>
      <c r="Q3477" s="391"/>
      <c r="R3477" s="393"/>
    </row>
    <row r="3478" spans="1:21" ht="30" customHeight="1" thickBot="1" x14ac:dyDescent="0.3">
      <c r="A3478" s="61"/>
      <c r="B3478" s="20"/>
      <c r="C3478" s="18"/>
      <c r="D3478" s="18"/>
      <c r="E3478" s="18"/>
      <c r="F3478" s="18"/>
      <c r="G3478" s="413" t="s">
        <v>537</v>
      </c>
      <c r="H3478" s="18"/>
      <c r="I3478" s="18"/>
      <c r="J3478" s="361">
        <f>VLOOKUP(B3470,'Mil Cost Premiums for RUCs'!$A$4:$R$265,18,FALSE)</f>
        <v>1.0209999999999999</v>
      </c>
      <c r="K3478" s="23">
        <f>+K3477*J3478</f>
        <v>138.06528755098043</v>
      </c>
      <c r="L3478" s="20" t="s">
        <v>9</v>
      </c>
      <c r="M3478" s="419"/>
      <c r="N3478" s="420"/>
      <c r="O3478"/>
      <c r="P3478" s="412"/>
      <c r="Q3478" s="391"/>
      <c r="R3478" s="393"/>
    </row>
    <row r="3479" spans="1:21" ht="30" customHeight="1" thickBot="1" x14ac:dyDescent="0.3">
      <c r="A3479" s="76"/>
      <c r="B3479" s="77"/>
      <c r="C3479" s="77"/>
      <c r="D3479" s="77"/>
      <c r="E3479" s="77"/>
      <c r="F3479" s="77"/>
      <c r="G3479" s="77"/>
      <c r="H3479" s="77"/>
      <c r="I3479" s="77"/>
      <c r="J3479" s="77"/>
      <c r="K3479" s="77"/>
      <c r="L3479" s="78"/>
      <c r="M3479" s="419"/>
      <c r="N3479" s="420"/>
      <c r="O3479"/>
      <c r="P3479" s="412"/>
      <c r="Q3479" s="391"/>
      <c r="R3479" s="393"/>
    </row>
    <row r="3480" spans="1:21" ht="30" customHeight="1" x14ac:dyDescent="0.25">
      <c r="A3480" s="30" t="s">
        <v>288</v>
      </c>
      <c r="B3480" s="208">
        <v>7412</v>
      </c>
      <c r="C3480" s="209" t="s">
        <v>2275</v>
      </c>
      <c r="D3480" s="210"/>
      <c r="E3480" s="177" t="s">
        <v>291</v>
      </c>
      <c r="F3480" s="178" t="s">
        <v>9</v>
      </c>
      <c r="G3480" s="123" t="s">
        <v>375</v>
      </c>
      <c r="H3480" s="179">
        <v>5273</v>
      </c>
      <c r="I3480" s="177" t="s">
        <v>292</v>
      </c>
      <c r="J3480" s="38" t="s">
        <v>883</v>
      </c>
      <c r="K3480" s="38"/>
      <c r="L3480" s="389"/>
      <c r="M3480" s="425"/>
      <c r="N3480" s="420"/>
      <c r="O3480"/>
      <c r="P3480" s="412"/>
      <c r="Q3480" s="391"/>
      <c r="R3480" s="393"/>
    </row>
    <row r="3481" spans="1:21" ht="30" customHeight="1" x14ac:dyDescent="0.25">
      <c r="A3481" s="48" t="s">
        <v>529</v>
      </c>
      <c r="B3481" s="394" t="s">
        <v>560</v>
      </c>
      <c r="C3481" s="395"/>
      <c r="D3481" s="396"/>
      <c r="E3481" s="397" t="s">
        <v>519</v>
      </c>
      <c r="F3481" s="397" t="s">
        <v>561</v>
      </c>
      <c r="G3481" s="398" t="s">
        <v>562</v>
      </c>
      <c r="H3481" s="399"/>
      <c r="I3481" s="181" t="s">
        <v>530</v>
      </c>
      <c r="J3481" s="181"/>
      <c r="K3481" s="288" t="s">
        <v>521</v>
      </c>
      <c r="L3481" s="289"/>
      <c r="M3481" s="419"/>
      <c r="N3481" s="420"/>
      <c r="O3481" s="43"/>
      <c r="P3481" s="672"/>
      <c r="Q3481" s="671"/>
      <c r="R3481" s="673"/>
    </row>
    <row r="3482" spans="1:21" ht="30" customHeight="1" x14ac:dyDescent="0.25">
      <c r="A3482" s="1334" t="s">
        <v>2265</v>
      </c>
      <c r="B3482" s="503" t="s">
        <v>2266</v>
      </c>
      <c r="C3482" s="504"/>
      <c r="D3482" s="505"/>
      <c r="E3482" s="405">
        <v>54.94</v>
      </c>
      <c r="F3482" s="22" t="s">
        <v>9</v>
      </c>
      <c r="G3482" s="1428"/>
      <c r="H3482" s="1429"/>
      <c r="I3482" s="20">
        <v>1.05</v>
      </c>
      <c r="J3482" s="20"/>
      <c r="K3482" s="405">
        <f>+E3482*I3482</f>
        <v>57.686999999999998</v>
      </c>
      <c r="L3482" s="20" t="s">
        <v>9</v>
      </c>
      <c r="M3482" s="419"/>
      <c r="N3482" s="420"/>
      <c r="O3482" s="43"/>
      <c r="P3482" s="672"/>
      <c r="Q3482" s="671"/>
      <c r="R3482" s="673"/>
    </row>
    <row r="3483" spans="1:21" ht="30" customHeight="1" x14ac:dyDescent="0.25">
      <c r="A3483" s="61" t="s">
        <v>644</v>
      </c>
      <c r="B3483" s="186" t="s">
        <v>2243</v>
      </c>
      <c r="C3483" s="186"/>
      <c r="D3483" s="186"/>
      <c r="E3483" s="405">
        <v>3.4</v>
      </c>
      <c r="F3483" s="20" t="s">
        <v>9</v>
      </c>
      <c r="G3483" s="522"/>
      <c r="H3483" s="20"/>
      <c r="I3483" s="20">
        <v>1.05</v>
      </c>
      <c r="J3483" s="20"/>
      <c r="K3483" s="405">
        <f>+E3483*I3483</f>
        <v>3.57</v>
      </c>
      <c r="L3483" s="20" t="s">
        <v>9</v>
      </c>
      <c r="M3483" s="434"/>
      <c r="N3483" s="420"/>
      <c r="O3483"/>
      <c r="P3483" s="412"/>
      <c r="Q3483" s="391"/>
      <c r="R3483" s="393"/>
    </row>
    <row r="3484" spans="1:21" ht="30" customHeight="1" x14ac:dyDescent="0.25">
      <c r="A3484" s="61"/>
      <c r="B3484" s="20"/>
      <c r="C3484" s="18"/>
      <c r="D3484" s="18"/>
      <c r="E3484" s="18"/>
      <c r="F3484" s="18"/>
      <c r="G3484" s="18"/>
      <c r="H3484" s="18"/>
      <c r="I3484" s="18"/>
      <c r="J3484" s="20" t="s">
        <v>578</v>
      </c>
      <c r="K3484" s="23">
        <f>SUM(K3482:K3483)</f>
        <v>61.256999999999998</v>
      </c>
      <c r="L3484" s="20" t="s">
        <v>9</v>
      </c>
      <c r="M3484" s="434"/>
      <c r="N3484" s="420"/>
      <c r="O3484" s="42"/>
      <c r="P3484" s="41"/>
      <c r="Q3484" s="41"/>
      <c r="R3484" s="41"/>
      <c r="S3484" s="41"/>
      <c r="T3484" s="41"/>
      <c r="U3484" s="43"/>
    </row>
    <row r="3485" spans="1:21" ht="30" customHeight="1" x14ac:dyDescent="0.25">
      <c r="A3485" s="61"/>
      <c r="B3485" s="410"/>
      <c r="C3485" s="410"/>
      <c r="D3485" s="410"/>
      <c r="E3485" s="405"/>
      <c r="F3485" s="338" t="s">
        <v>533</v>
      </c>
      <c r="G3485" s="339" t="s">
        <v>534</v>
      </c>
      <c r="H3485" s="339"/>
      <c r="I3485" s="339"/>
      <c r="J3485" s="339"/>
      <c r="K3485" s="340">
        <v>1.07</v>
      </c>
      <c r="L3485" s="10"/>
      <c r="M3485" s="419"/>
      <c r="N3485" s="420"/>
      <c r="U3485" s="43"/>
    </row>
    <row r="3486" spans="1:21" s="41" customFormat="1" ht="30" customHeight="1" x14ac:dyDescent="0.25">
      <c r="A3486" s="61"/>
      <c r="B3486" s="410"/>
      <c r="C3486" s="410"/>
      <c r="D3486" s="410"/>
      <c r="E3486" s="405"/>
      <c r="F3486" s="343"/>
      <c r="G3486" s="344" t="s">
        <v>535</v>
      </c>
      <c r="H3486" s="344"/>
      <c r="I3486" s="344"/>
      <c r="J3486" s="344"/>
      <c r="K3486" s="340">
        <v>1.02</v>
      </c>
      <c r="L3486" s="10"/>
      <c r="M3486" s="419"/>
      <c r="N3486" s="420"/>
      <c r="O3486" s="27"/>
      <c r="P3486"/>
      <c r="Q3486"/>
      <c r="R3486"/>
      <c r="S3486"/>
      <c r="T3486"/>
    </row>
    <row r="3487" spans="1:21" s="49" customFormat="1" ht="30" customHeight="1" x14ac:dyDescent="0.25">
      <c r="A3487" s="61"/>
      <c r="B3487" s="20"/>
      <c r="C3487" s="18"/>
      <c r="D3487" s="18"/>
      <c r="E3487" s="18"/>
      <c r="F3487" s="18"/>
      <c r="G3487" s="18"/>
      <c r="H3487" s="18"/>
      <c r="I3487" s="18"/>
      <c r="J3487" s="20" t="s">
        <v>358</v>
      </c>
      <c r="K3487" s="23">
        <f>+K3484*K3485/K3486</f>
        <v>64.259794117647061</v>
      </c>
      <c r="L3487" s="20" t="s">
        <v>9</v>
      </c>
      <c r="M3487" s="419"/>
      <c r="N3487" s="420"/>
      <c r="O3487" s="27"/>
      <c r="P3487" s="50"/>
      <c r="Q3487" s="50"/>
      <c r="R3487" s="50"/>
      <c r="S3487" s="212"/>
      <c r="T3487" s="212"/>
    </row>
    <row r="3488" spans="1:21" ht="30" customHeight="1" thickBot="1" x14ac:dyDescent="0.3">
      <c r="A3488" s="61"/>
      <c r="B3488" s="20"/>
      <c r="C3488" s="18"/>
      <c r="D3488" s="18"/>
      <c r="E3488" s="18"/>
      <c r="F3488" s="18"/>
      <c r="G3488" s="413" t="s">
        <v>537</v>
      </c>
      <c r="H3488" s="18"/>
      <c r="I3488" s="18"/>
      <c r="J3488" s="361">
        <f>VLOOKUP(B3480,'Mil Cost Premiums for RUCs'!$A$4:$R$265,18,FALSE)</f>
        <v>1.0240629999999997</v>
      </c>
      <c r="K3488" s="23">
        <f>+K3487*J3488</f>
        <v>65.806077543499981</v>
      </c>
      <c r="L3488" s="20" t="s">
        <v>9</v>
      </c>
      <c r="M3488" s="670"/>
      <c r="N3488" s="420"/>
      <c r="P3488" s="43"/>
      <c r="Q3488" s="43"/>
      <c r="R3488" s="43"/>
      <c r="S3488" s="60"/>
      <c r="T3488" s="60"/>
    </row>
    <row r="3489" spans="1:21" ht="30" customHeight="1" thickBot="1" x14ac:dyDescent="0.3">
      <c r="A3489" s="76"/>
      <c r="B3489" s="77"/>
      <c r="C3489" s="77"/>
      <c r="D3489" s="77"/>
      <c r="E3489" s="77"/>
      <c r="F3489" s="77"/>
      <c r="G3489" s="77"/>
      <c r="H3489" s="77"/>
      <c r="I3489" s="77"/>
      <c r="J3489" s="77"/>
      <c r="K3489" s="77"/>
      <c r="L3489" s="78"/>
      <c r="M3489" s="670"/>
      <c r="N3489" s="420"/>
      <c r="O3489" s="42"/>
      <c r="P3489" s="41"/>
      <c r="Q3489" s="41"/>
      <c r="R3489" s="41"/>
      <c r="S3489" s="41"/>
      <c r="T3489" s="41"/>
      <c r="U3489" s="43"/>
    </row>
    <row r="3490" spans="1:21" ht="30" customHeight="1" x14ac:dyDescent="0.25">
      <c r="A3490" s="30" t="s">
        <v>288</v>
      </c>
      <c r="B3490" s="208">
        <v>7413</v>
      </c>
      <c r="C3490" s="209" t="s">
        <v>2276</v>
      </c>
      <c r="D3490" s="210"/>
      <c r="E3490" s="177" t="s">
        <v>291</v>
      </c>
      <c r="F3490" s="178" t="s">
        <v>9</v>
      </c>
      <c r="G3490" s="123" t="s">
        <v>375</v>
      </c>
      <c r="H3490" s="179">
        <v>4116</v>
      </c>
      <c r="I3490" s="177" t="s">
        <v>292</v>
      </c>
      <c r="J3490" s="38" t="s">
        <v>883</v>
      </c>
      <c r="K3490" s="38"/>
      <c r="L3490" s="389"/>
      <c r="M3490" s="419"/>
      <c r="N3490" s="671"/>
      <c r="U3490" s="43"/>
    </row>
    <row r="3491" spans="1:21" s="41" customFormat="1" ht="30" customHeight="1" x14ac:dyDescent="0.25">
      <c r="A3491" s="48" t="s">
        <v>529</v>
      </c>
      <c r="B3491" s="394" t="s">
        <v>560</v>
      </c>
      <c r="C3491" s="395"/>
      <c r="D3491" s="396"/>
      <c r="E3491" s="397" t="s">
        <v>519</v>
      </c>
      <c r="F3491" s="397" t="s">
        <v>561</v>
      </c>
      <c r="G3491" s="398" t="s">
        <v>562</v>
      </c>
      <c r="H3491" s="399"/>
      <c r="I3491" s="181" t="s">
        <v>530</v>
      </c>
      <c r="J3491" s="181"/>
      <c r="K3491" s="288" t="s">
        <v>521</v>
      </c>
      <c r="L3491" s="289"/>
      <c r="M3491" s="419"/>
      <c r="N3491" s="671"/>
      <c r="O3491" s="27"/>
      <c r="P3491"/>
      <c r="Q3491"/>
      <c r="R3491"/>
      <c r="S3491"/>
      <c r="T3491"/>
    </row>
    <row r="3492" spans="1:21" s="49" customFormat="1" ht="30" customHeight="1" x14ac:dyDescent="0.25">
      <c r="A3492" s="1334" t="s">
        <v>2277</v>
      </c>
      <c r="B3492" s="503" t="s">
        <v>2278</v>
      </c>
      <c r="C3492" s="504"/>
      <c r="D3492" s="505"/>
      <c r="E3492" s="405">
        <v>97</v>
      </c>
      <c r="F3492" s="22" t="s">
        <v>9</v>
      </c>
      <c r="G3492" s="1428"/>
      <c r="H3492" s="1429"/>
      <c r="I3492" s="20">
        <v>1.06</v>
      </c>
      <c r="J3492" s="20"/>
      <c r="K3492" s="405">
        <f>+E3492*I3492</f>
        <v>102.82000000000001</v>
      </c>
      <c r="L3492" s="20" t="s">
        <v>9</v>
      </c>
      <c r="M3492" s="419"/>
      <c r="N3492" s="420"/>
      <c r="O3492" s="27"/>
      <c r="P3492" s="50"/>
      <c r="Q3492" s="50"/>
      <c r="R3492" s="50"/>
      <c r="S3492" s="212"/>
      <c r="T3492" s="212"/>
    </row>
    <row r="3493" spans="1:21" ht="30" customHeight="1" x14ac:dyDescent="0.25">
      <c r="A3493" s="1299" t="s">
        <v>1934</v>
      </c>
      <c r="B3493" s="186" t="s">
        <v>2248</v>
      </c>
      <c r="C3493" s="186"/>
      <c r="D3493" s="186"/>
      <c r="E3493" s="405">
        <v>3.8</v>
      </c>
      <c r="F3493" s="20" t="s">
        <v>9</v>
      </c>
      <c r="G3493" s="522"/>
      <c r="H3493" s="20"/>
      <c r="I3493" s="20">
        <v>1.06</v>
      </c>
      <c r="J3493" s="20"/>
      <c r="K3493" s="405">
        <f>+E3493*I3493</f>
        <v>4.0279999999999996</v>
      </c>
      <c r="L3493" s="20" t="s">
        <v>9</v>
      </c>
      <c r="N3493" s="420"/>
      <c r="P3493" s="43"/>
      <c r="Q3493" s="43"/>
      <c r="R3493" s="43"/>
      <c r="S3493" s="60"/>
      <c r="T3493" s="60"/>
    </row>
    <row r="3494" spans="1:21" ht="30" customHeight="1" x14ac:dyDescent="0.25">
      <c r="A3494" s="61"/>
      <c r="B3494" s="20"/>
      <c r="C3494" s="18"/>
      <c r="D3494" s="18"/>
      <c r="E3494" s="18"/>
      <c r="F3494" s="18"/>
      <c r="G3494" s="413"/>
      <c r="H3494" s="18"/>
      <c r="I3494" s="18"/>
      <c r="J3494" s="20" t="s">
        <v>578</v>
      </c>
      <c r="K3494" s="23">
        <f>SUM(K3492:K3493)</f>
        <v>106.84800000000001</v>
      </c>
      <c r="L3494" s="20" t="s">
        <v>9</v>
      </c>
      <c r="M3494" s="502"/>
      <c r="N3494" s="420"/>
      <c r="O3494"/>
      <c r="P3494" s="412"/>
      <c r="Q3494" s="391"/>
      <c r="R3494" s="393"/>
    </row>
    <row r="3495" spans="1:21" ht="30" customHeight="1" x14ac:dyDescent="0.25">
      <c r="A3495" s="61"/>
      <c r="B3495" s="410"/>
      <c r="C3495" s="410"/>
      <c r="D3495" s="410"/>
      <c r="E3495" s="405"/>
      <c r="F3495" s="338" t="s">
        <v>533</v>
      </c>
      <c r="G3495" s="339" t="s">
        <v>534</v>
      </c>
      <c r="H3495" s="339"/>
      <c r="I3495" s="339"/>
      <c r="J3495" s="339"/>
      <c r="K3495" s="340">
        <v>1.07</v>
      </c>
      <c r="L3495" s="10"/>
      <c r="M3495" s="341"/>
      <c r="N3495" s="342"/>
      <c r="O3495"/>
      <c r="P3495" s="412"/>
      <c r="Q3495" s="391"/>
      <c r="R3495" s="393"/>
    </row>
    <row r="3496" spans="1:21" ht="30" customHeight="1" x14ac:dyDescent="0.25">
      <c r="A3496" s="61"/>
      <c r="B3496" s="410"/>
      <c r="C3496" s="410"/>
      <c r="D3496" s="410"/>
      <c r="E3496" s="405"/>
      <c r="F3496" s="343"/>
      <c r="G3496" s="344" t="s">
        <v>535</v>
      </c>
      <c r="H3496" s="344"/>
      <c r="I3496" s="344"/>
      <c r="J3496" s="344"/>
      <c r="K3496" s="340">
        <v>1.02</v>
      </c>
      <c r="L3496" s="10"/>
      <c r="N3496" s="502"/>
      <c r="O3496"/>
      <c r="P3496" s="412"/>
      <c r="Q3496" s="391"/>
      <c r="R3496" s="393"/>
    </row>
    <row r="3497" spans="1:21" s="49" customFormat="1" ht="30" customHeight="1" x14ac:dyDescent="0.25">
      <c r="A3497" s="61"/>
      <c r="B3497" s="20"/>
      <c r="C3497" s="18"/>
      <c r="D3497" s="18"/>
      <c r="E3497" s="18"/>
      <c r="F3497" s="18"/>
      <c r="G3497" s="413"/>
      <c r="H3497" s="18"/>
      <c r="I3497" s="18"/>
      <c r="J3497" s="20" t="s">
        <v>358</v>
      </c>
      <c r="K3497" s="23">
        <f>+K3494*K3495/K3496</f>
        <v>112.08564705882355</v>
      </c>
      <c r="L3497" s="20" t="s">
        <v>9</v>
      </c>
      <c r="M3497" s="43"/>
      <c r="N3497" s="25"/>
      <c r="P3497" s="412"/>
      <c r="Q3497" s="391"/>
      <c r="R3497" s="393"/>
    </row>
    <row r="3498" spans="1:21" ht="30" customHeight="1" thickBot="1" x14ac:dyDescent="0.3">
      <c r="A3498" s="61"/>
      <c r="B3498" s="20"/>
      <c r="C3498" s="18"/>
      <c r="D3498" s="18"/>
      <c r="E3498" s="18"/>
      <c r="F3498" s="18"/>
      <c r="G3498" s="413" t="s">
        <v>537</v>
      </c>
      <c r="H3498" s="18"/>
      <c r="I3498" s="18"/>
      <c r="J3498" s="361">
        <f>VLOOKUP(B3490,'Mil Cost Premiums for RUCs'!$A$4:$R$265,18,FALSE)</f>
        <v>1.3319480854780448</v>
      </c>
      <c r="K3498" s="23">
        <f>+K3497*J3498</f>
        <v>149.29226300956788</v>
      </c>
      <c r="L3498" s="20" t="s">
        <v>9</v>
      </c>
      <c r="O3498"/>
      <c r="P3498" s="412"/>
      <c r="Q3498" s="391"/>
      <c r="R3498" s="393"/>
    </row>
    <row r="3499" spans="1:21" ht="30" customHeight="1" thickBot="1" x14ac:dyDescent="0.3">
      <c r="A3499" s="76"/>
      <c r="B3499" s="77"/>
      <c r="C3499" s="77"/>
      <c r="D3499" s="77"/>
      <c r="E3499" s="77"/>
      <c r="F3499" s="77"/>
      <c r="G3499" s="77"/>
      <c r="H3499" s="77"/>
      <c r="I3499" s="77"/>
      <c r="J3499" s="77"/>
      <c r="K3499" s="77"/>
      <c r="L3499" s="78"/>
      <c r="M3499" s="502"/>
      <c r="O3499"/>
      <c r="P3499" s="412"/>
      <c r="Q3499" s="391"/>
      <c r="R3499" s="393"/>
    </row>
    <row r="3500" spans="1:21" ht="30" customHeight="1" x14ac:dyDescent="0.25">
      <c r="A3500" s="30" t="s">
        <v>288</v>
      </c>
      <c r="B3500" s="31">
        <v>7414</v>
      </c>
      <c r="C3500" s="161" t="s">
        <v>2279</v>
      </c>
      <c r="D3500" s="162"/>
      <c r="E3500" s="177" t="s">
        <v>291</v>
      </c>
      <c r="F3500" s="178" t="s">
        <v>9</v>
      </c>
      <c r="G3500" s="123" t="s">
        <v>375</v>
      </c>
      <c r="H3500" s="179">
        <v>3137</v>
      </c>
      <c r="I3500" s="177" t="s">
        <v>292</v>
      </c>
      <c r="J3500" s="38" t="s">
        <v>883</v>
      </c>
      <c r="K3500" s="38"/>
      <c r="L3500" s="389"/>
      <c r="M3500" s="341"/>
      <c r="N3500" s="342"/>
      <c r="O3500"/>
      <c r="P3500" s="412"/>
      <c r="Q3500" s="391"/>
      <c r="R3500" s="393"/>
    </row>
    <row r="3501" spans="1:21" ht="30" customHeight="1" x14ac:dyDescent="0.25">
      <c r="A3501" s="48" t="s">
        <v>529</v>
      </c>
      <c r="B3501" s="490" t="s">
        <v>560</v>
      </c>
      <c r="C3501" s="491"/>
      <c r="D3501" s="492"/>
      <c r="E3501" s="397" t="s">
        <v>519</v>
      </c>
      <c r="F3501" s="397" t="s">
        <v>561</v>
      </c>
      <c r="G3501" s="398" t="s">
        <v>562</v>
      </c>
      <c r="H3501" s="399"/>
      <c r="I3501" s="181" t="s">
        <v>530</v>
      </c>
      <c r="J3501" s="181"/>
      <c r="K3501" s="288" t="s">
        <v>521</v>
      </c>
      <c r="L3501" s="289"/>
      <c r="N3501" s="502"/>
      <c r="O3501" s="43"/>
      <c r="P3501" s="672"/>
      <c r="Q3501" s="671"/>
      <c r="R3501" s="673"/>
    </row>
    <row r="3502" spans="1:21" ht="30" customHeight="1" x14ac:dyDescent="0.25">
      <c r="A3502" s="1334" t="s">
        <v>2241</v>
      </c>
      <c r="B3502" s="716" t="s">
        <v>2242</v>
      </c>
      <c r="C3502" s="717"/>
      <c r="D3502" s="718"/>
      <c r="E3502" s="405">
        <v>117.9</v>
      </c>
      <c r="F3502" s="22" t="s">
        <v>9</v>
      </c>
      <c r="G3502" s="1428"/>
      <c r="H3502" s="1429"/>
      <c r="I3502" s="20">
        <v>1.06</v>
      </c>
      <c r="J3502" s="20"/>
      <c r="K3502" s="405">
        <f>+E3502*I3502</f>
        <v>124.97400000000002</v>
      </c>
      <c r="L3502" s="20" t="s">
        <v>9</v>
      </c>
      <c r="M3502" s="43"/>
      <c r="O3502" s="43"/>
      <c r="P3502" s="672"/>
      <c r="Q3502" s="671"/>
      <c r="R3502" s="673"/>
    </row>
    <row r="3503" spans="1:21" ht="30" customHeight="1" x14ac:dyDescent="0.25">
      <c r="A3503" s="61" t="s">
        <v>691</v>
      </c>
      <c r="B3503" s="62" t="s">
        <v>2258</v>
      </c>
      <c r="C3503" s="62"/>
      <c r="D3503" s="62"/>
      <c r="E3503" s="405">
        <v>4.4800000000000004</v>
      </c>
      <c r="F3503" s="20" t="s">
        <v>9</v>
      </c>
      <c r="G3503" s="522"/>
      <c r="H3503" s="20"/>
      <c r="I3503" s="20">
        <v>1.06</v>
      </c>
      <c r="J3503" s="20"/>
      <c r="K3503" s="405">
        <f>+E3503*I3503</f>
        <v>4.748800000000001</v>
      </c>
      <c r="L3503" s="20" t="s">
        <v>9</v>
      </c>
      <c r="M3503" s="419"/>
      <c r="O3503"/>
      <c r="P3503" s="412"/>
      <c r="Q3503" s="391"/>
      <c r="R3503" s="393"/>
    </row>
    <row r="3504" spans="1:21" ht="30" customHeight="1" x14ac:dyDescent="0.25">
      <c r="A3504" s="61"/>
      <c r="B3504" s="61"/>
      <c r="C3504" s="63"/>
      <c r="D3504" s="63"/>
      <c r="E3504" s="18"/>
      <c r="F3504" s="18"/>
      <c r="G3504" s="18"/>
      <c r="H3504" s="18"/>
      <c r="I3504" s="18"/>
      <c r="J3504" s="20" t="s">
        <v>578</v>
      </c>
      <c r="K3504" s="23">
        <f>SUM(K3502:K3503)</f>
        <v>129.72280000000001</v>
      </c>
      <c r="L3504" s="20" t="s">
        <v>9</v>
      </c>
      <c r="O3504"/>
      <c r="P3504" s="412"/>
      <c r="Q3504" s="391"/>
      <c r="R3504" s="393"/>
    </row>
    <row r="3505" spans="1:18" ht="30" customHeight="1" x14ac:dyDescent="0.25">
      <c r="A3505" s="61"/>
      <c r="B3505" s="498"/>
      <c r="C3505" s="498"/>
      <c r="D3505" s="498"/>
      <c r="E3505" s="405"/>
      <c r="F3505" s="338" t="s">
        <v>533</v>
      </c>
      <c r="G3505" s="339" t="s">
        <v>534</v>
      </c>
      <c r="H3505" s="339"/>
      <c r="I3505" s="339"/>
      <c r="J3505" s="339"/>
      <c r="K3505" s="340">
        <v>1.07</v>
      </c>
      <c r="L3505" s="10"/>
      <c r="M3505" s="419"/>
      <c r="N3505" s="420"/>
      <c r="O3505"/>
      <c r="P3505" s="412"/>
      <c r="Q3505" s="391"/>
      <c r="R3505" s="393"/>
    </row>
    <row r="3506" spans="1:18" ht="30" customHeight="1" x14ac:dyDescent="0.25">
      <c r="A3506" s="61"/>
      <c r="B3506" s="498"/>
      <c r="C3506" s="498"/>
      <c r="D3506" s="498"/>
      <c r="E3506" s="405"/>
      <c r="F3506" s="343"/>
      <c r="G3506" s="344" t="s">
        <v>535</v>
      </c>
      <c r="H3506" s="344"/>
      <c r="I3506" s="344"/>
      <c r="J3506" s="344"/>
      <c r="K3506" s="340">
        <v>1.02</v>
      </c>
      <c r="L3506" s="10"/>
      <c r="M3506" s="419"/>
      <c r="N3506" s="1343"/>
      <c r="O3506"/>
      <c r="P3506" s="412"/>
      <c r="Q3506" s="391"/>
      <c r="R3506" s="393"/>
    </row>
    <row r="3507" spans="1:18" s="49" customFormat="1" ht="30" customHeight="1" x14ac:dyDescent="0.25">
      <c r="A3507" s="61"/>
      <c r="B3507" s="61"/>
      <c r="C3507" s="63"/>
      <c r="D3507" s="63"/>
      <c r="E3507" s="18"/>
      <c r="F3507" s="18"/>
      <c r="G3507" s="18"/>
      <c r="H3507" s="18"/>
      <c r="I3507" s="18"/>
      <c r="J3507" s="20" t="s">
        <v>358</v>
      </c>
      <c r="K3507" s="23">
        <f>+K3504*K3505/K3506</f>
        <v>136.08176078431373</v>
      </c>
      <c r="L3507" s="20" t="s">
        <v>9</v>
      </c>
      <c r="M3507" s="419"/>
      <c r="N3507" s="420"/>
      <c r="P3507" s="412"/>
      <c r="Q3507" s="391"/>
      <c r="R3507" s="393"/>
    </row>
    <row r="3508" spans="1:18" ht="30" customHeight="1" thickBot="1" x14ac:dyDescent="0.3">
      <c r="A3508" s="61"/>
      <c r="B3508" s="61"/>
      <c r="C3508" s="63"/>
      <c r="D3508" s="63"/>
      <c r="E3508" s="18"/>
      <c r="F3508" s="18"/>
      <c r="G3508" s="413" t="s">
        <v>537</v>
      </c>
      <c r="H3508" s="18"/>
      <c r="I3508" s="18"/>
      <c r="J3508" s="361">
        <f>VLOOKUP(B3500,'Mil Cost Premiums for RUCs'!$A$4:$R$265,18,FALSE)</f>
        <v>1.2470022895162014</v>
      </c>
      <c r="K3508" s="23">
        <f>+K3507*J3508</f>
        <v>169.69426725943526</v>
      </c>
      <c r="L3508" s="20" t="s">
        <v>9</v>
      </c>
      <c r="M3508" s="670"/>
      <c r="N3508" s="420"/>
      <c r="O3508"/>
      <c r="P3508" s="412"/>
      <c r="Q3508" s="391"/>
      <c r="R3508" s="393"/>
    </row>
    <row r="3509" spans="1:18" ht="30" customHeight="1" thickBot="1" x14ac:dyDescent="0.3">
      <c r="A3509" s="76"/>
      <c r="B3509" s="77"/>
      <c r="C3509" s="77"/>
      <c r="D3509" s="77"/>
      <c r="E3509" s="77"/>
      <c r="F3509" s="77"/>
      <c r="G3509" s="77"/>
      <c r="H3509" s="77"/>
      <c r="I3509" s="77"/>
      <c r="J3509" s="77"/>
      <c r="K3509" s="77"/>
      <c r="L3509" s="78"/>
      <c r="M3509" s="670"/>
      <c r="N3509" s="420"/>
      <c r="O3509"/>
      <c r="P3509" s="412"/>
      <c r="Q3509" s="391"/>
      <c r="R3509" s="393"/>
    </row>
    <row r="3510" spans="1:18" ht="30" customHeight="1" x14ac:dyDescent="0.25">
      <c r="A3510" s="30" t="s">
        <v>288</v>
      </c>
      <c r="B3510" s="208">
        <v>7415</v>
      </c>
      <c r="C3510" s="209" t="s">
        <v>2280</v>
      </c>
      <c r="D3510" s="210"/>
      <c r="E3510" s="177" t="s">
        <v>291</v>
      </c>
      <c r="F3510" s="178" t="s">
        <v>9</v>
      </c>
      <c r="G3510" s="123" t="s">
        <v>375</v>
      </c>
      <c r="H3510" s="179">
        <v>13847</v>
      </c>
      <c r="I3510" s="177" t="s">
        <v>292</v>
      </c>
      <c r="J3510" s="38" t="s">
        <v>883</v>
      </c>
      <c r="K3510" s="38"/>
      <c r="L3510" s="389"/>
      <c r="M3510" s="419"/>
      <c r="N3510" s="671"/>
      <c r="O3510"/>
      <c r="P3510" s="412"/>
      <c r="Q3510" s="391"/>
      <c r="R3510" s="393"/>
    </row>
    <row r="3511" spans="1:18" ht="30" customHeight="1" x14ac:dyDescent="0.25">
      <c r="A3511" s="48" t="s">
        <v>529</v>
      </c>
      <c r="B3511" s="394" t="s">
        <v>560</v>
      </c>
      <c r="C3511" s="395"/>
      <c r="D3511" s="396"/>
      <c r="E3511" s="397" t="s">
        <v>519</v>
      </c>
      <c r="F3511" s="397" t="s">
        <v>561</v>
      </c>
      <c r="G3511" s="398" t="s">
        <v>562</v>
      </c>
      <c r="H3511" s="399"/>
      <c r="I3511" s="181" t="s">
        <v>530</v>
      </c>
      <c r="J3511" s="181"/>
      <c r="K3511" s="288" t="s">
        <v>521</v>
      </c>
      <c r="L3511" s="289"/>
      <c r="M3511" s="419"/>
      <c r="N3511" s="671"/>
      <c r="O3511" s="43"/>
      <c r="P3511" s="672"/>
      <c r="Q3511" s="671"/>
      <c r="R3511" s="673"/>
    </row>
    <row r="3512" spans="1:18" ht="30" customHeight="1" x14ac:dyDescent="0.25">
      <c r="A3512" s="1334" t="s">
        <v>2281</v>
      </c>
      <c r="B3512" s="503" t="s">
        <v>2282</v>
      </c>
      <c r="C3512" s="504"/>
      <c r="D3512" s="505"/>
      <c r="E3512" s="405">
        <v>102</v>
      </c>
      <c r="F3512" s="22" t="s">
        <v>9</v>
      </c>
      <c r="G3512" s="1428"/>
      <c r="H3512" s="1429"/>
      <c r="I3512" s="20">
        <v>1.04</v>
      </c>
      <c r="J3512" s="20"/>
      <c r="K3512" s="405">
        <f>+E3512*I3512</f>
        <v>106.08</v>
      </c>
      <c r="L3512" s="20" t="s">
        <v>9</v>
      </c>
      <c r="M3512" s="434"/>
      <c r="N3512" s="420"/>
      <c r="O3512" s="43"/>
      <c r="P3512" s="672"/>
      <c r="Q3512" s="671"/>
      <c r="R3512" s="673"/>
    </row>
    <row r="3513" spans="1:18" ht="30" customHeight="1" x14ac:dyDescent="0.25">
      <c r="A3513" s="61" t="s">
        <v>2283</v>
      </c>
      <c r="B3513" s="186" t="s">
        <v>2284</v>
      </c>
      <c r="C3513" s="186"/>
      <c r="D3513" s="186"/>
      <c r="E3513" s="405">
        <v>3.34</v>
      </c>
      <c r="F3513" s="20" t="s">
        <v>9</v>
      </c>
      <c r="G3513" s="522"/>
      <c r="H3513" s="20"/>
      <c r="I3513" s="20">
        <v>1.04</v>
      </c>
      <c r="J3513" s="20"/>
      <c r="K3513" s="405">
        <f>+E3513*I3513</f>
        <v>3.4735999999999998</v>
      </c>
      <c r="L3513" s="20" t="s">
        <v>9</v>
      </c>
      <c r="M3513" s="434"/>
      <c r="N3513" s="420"/>
      <c r="O3513"/>
      <c r="P3513" s="412"/>
      <c r="Q3513" s="391"/>
      <c r="R3513" s="393"/>
    </row>
    <row r="3514" spans="1:18" ht="30" customHeight="1" x14ac:dyDescent="0.25">
      <c r="A3514" s="61"/>
      <c r="B3514" s="20"/>
      <c r="C3514" s="18"/>
      <c r="D3514" s="18"/>
      <c r="E3514" s="18"/>
      <c r="F3514" s="18"/>
      <c r="G3514" s="18"/>
      <c r="H3514" s="18"/>
      <c r="I3514" s="18"/>
      <c r="J3514" s="20" t="s">
        <v>578</v>
      </c>
      <c r="K3514" s="23">
        <f>SUM(K3512:K3513)</f>
        <v>109.5536</v>
      </c>
      <c r="L3514" s="20" t="s">
        <v>9</v>
      </c>
      <c r="M3514" s="425"/>
      <c r="N3514" s="420"/>
      <c r="O3514"/>
      <c r="P3514" s="412"/>
      <c r="Q3514" s="391"/>
      <c r="R3514" s="393"/>
    </row>
    <row r="3515" spans="1:18" ht="30" customHeight="1" x14ac:dyDescent="0.25">
      <c r="A3515" s="61"/>
      <c r="B3515" s="410"/>
      <c r="C3515" s="410"/>
      <c r="D3515" s="410"/>
      <c r="E3515" s="405"/>
      <c r="F3515" s="338" t="s">
        <v>533</v>
      </c>
      <c r="G3515" s="339" t="s">
        <v>534</v>
      </c>
      <c r="H3515" s="339"/>
      <c r="I3515" s="339"/>
      <c r="J3515" s="339"/>
      <c r="K3515" s="340">
        <v>1.07</v>
      </c>
      <c r="L3515" s="10"/>
      <c r="M3515" s="419"/>
      <c r="N3515" s="420"/>
      <c r="O3515"/>
      <c r="P3515" s="412"/>
      <c r="Q3515" s="391"/>
      <c r="R3515" s="393"/>
    </row>
    <row r="3516" spans="1:18" ht="30" customHeight="1" x14ac:dyDescent="0.25">
      <c r="A3516" s="61"/>
      <c r="B3516" s="410"/>
      <c r="C3516" s="410"/>
      <c r="D3516" s="410"/>
      <c r="E3516" s="405"/>
      <c r="F3516" s="343"/>
      <c r="G3516" s="344" t="s">
        <v>535</v>
      </c>
      <c r="H3516" s="344"/>
      <c r="I3516" s="344"/>
      <c r="J3516" s="344"/>
      <c r="K3516" s="340">
        <v>1.02</v>
      </c>
      <c r="L3516" s="10"/>
      <c r="M3516" s="419"/>
      <c r="N3516" s="420"/>
      <c r="O3516"/>
      <c r="P3516" s="412"/>
      <c r="Q3516" s="391"/>
      <c r="R3516" s="393"/>
    </row>
    <row r="3517" spans="1:18" s="49" customFormat="1" ht="30" customHeight="1" x14ac:dyDescent="0.25">
      <c r="A3517" s="61"/>
      <c r="B3517" s="20"/>
      <c r="C3517" s="18"/>
      <c r="D3517" s="18"/>
      <c r="E3517" s="18"/>
      <c r="F3517" s="18"/>
      <c r="G3517" s="18"/>
      <c r="H3517" s="18"/>
      <c r="I3517" s="18"/>
      <c r="J3517" s="20" t="s">
        <v>358</v>
      </c>
      <c r="K3517" s="23">
        <f>+K3514*K3515/K3516</f>
        <v>114.92387450980394</v>
      </c>
      <c r="L3517" s="20" t="s">
        <v>9</v>
      </c>
      <c r="M3517" s="419"/>
      <c r="N3517" s="420"/>
      <c r="P3517" s="412"/>
      <c r="Q3517" s="391"/>
      <c r="R3517" s="393"/>
    </row>
    <row r="3518" spans="1:18" ht="30" customHeight="1" thickBot="1" x14ac:dyDescent="0.3">
      <c r="A3518" s="61"/>
      <c r="B3518" s="20"/>
      <c r="C3518" s="18"/>
      <c r="D3518" s="18"/>
      <c r="E3518" s="18"/>
      <c r="F3518" s="18"/>
      <c r="G3518" s="413" t="s">
        <v>537</v>
      </c>
      <c r="H3518" s="18"/>
      <c r="I3518" s="18"/>
      <c r="J3518" s="361">
        <f>VLOOKUP(B3510,'Mil Cost Premiums for RUCs'!$A$4:$R$265,18,FALSE)</f>
        <v>1.2815350593147223</v>
      </c>
      <c r="K3518" s="23">
        <f>+K3517*J3518</f>
        <v>147.2789743365993</v>
      </c>
      <c r="L3518" s="20" t="s">
        <v>9</v>
      </c>
      <c r="M3518" s="670"/>
      <c r="N3518" s="420"/>
      <c r="O3518"/>
      <c r="P3518" s="412"/>
      <c r="Q3518" s="391"/>
      <c r="R3518" s="393"/>
    </row>
    <row r="3519" spans="1:18" ht="30" customHeight="1" thickBot="1" x14ac:dyDescent="0.3">
      <c r="A3519" s="76"/>
      <c r="B3519" s="77"/>
      <c r="C3519" s="77"/>
      <c r="D3519" s="77"/>
      <c r="E3519" s="77"/>
      <c r="F3519" s="77"/>
      <c r="G3519" s="77"/>
      <c r="H3519" s="77"/>
      <c r="I3519" s="77"/>
      <c r="J3519" s="77"/>
      <c r="K3519" s="77"/>
      <c r="L3519" s="78"/>
      <c r="M3519" s="670"/>
      <c r="N3519" s="420"/>
      <c r="O3519"/>
      <c r="P3519" s="412"/>
      <c r="Q3519" s="391"/>
      <c r="R3519" s="393"/>
    </row>
    <row r="3520" spans="1:18" ht="30" customHeight="1" x14ac:dyDescent="0.25">
      <c r="A3520" s="30" t="s">
        <v>288</v>
      </c>
      <c r="B3520" s="208">
        <v>7416</v>
      </c>
      <c r="C3520" s="209" t="s">
        <v>2285</v>
      </c>
      <c r="D3520" s="210"/>
      <c r="E3520" s="177" t="s">
        <v>291</v>
      </c>
      <c r="F3520" s="178" t="s">
        <v>9</v>
      </c>
      <c r="G3520" s="123" t="s">
        <v>375</v>
      </c>
      <c r="H3520" s="179">
        <v>11917</v>
      </c>
      <c r="I3520" s="177" t="s">
        <v>292</v>
      </c>
      <c r="J3520" s="38" t="s">
        <v>883</v>
      </c>
      <c r="K3520" s="38"/>
      <c r="L3520" s="389"/>
      <c r="M3520" s="419"/>
      <c r="N3520" s="671"/>
      <c r="O3520"/>
      <c r="P3520" s="412"/>
      <c r="Q3520" s="391"/>
      <c r="R3520" s="393"/>
    </row>
    <row r="3521" spans="1:18" ht="30" customHeight="1" x14ac:dyDescent="0.25">
      <c r="A3521" s="48" t="s">
        <v>529</v>
      </c>
      <c r="B3521" s="394" t="s">
        <v>560</v>
      </c>
      <c r="C3521" s="395"/>
      <c r="D3521" s="396"/>
      <c r="E3521" s="397" t="s">
        <v>519</v>
      </c>
      <c r="F3521" s="397" t="s">
        <v>561</v>
      </c>
      <c r="G3521" s="398" t="s">
        <v>562</v>
      </c>
      <c r="H3521" s="399"/>
      <c r="I3521" s="181" t="s">
        <v>530</v>
      </c>
      <c r="J3521" s="181"/>
      <c r="K3521" s="288" t="s">
        <v>521</v>
      </c>
      <c r="L3521" s="289"/>
      <c r="M3521" s="419"/>
      <c r="N3521" s="671"/>
      <c r="O3521" s="43"/>
      <c r="P3521" s="672"/>
      <c r="Q3521" s="671"/>
      <c r="R3521" s="673"/>
    </row>
    <row r="3522" spans="1:18" ht="30" customHeight="1" x14ac:dyDescent="0.25">
      <c r="A3522" s="1334" t="s">
        <v>2286</v>
      </c>
      <c r="B3522" s="503" t="s">
        <v>2287</v>
      </c>
      <c r="C3522" s="504"/>
      <c r="D3522" s="505"/>
      <c r="E3522" s="405">
        <v>135.69</v>
      </c>
      <c r="F3522" s="22" t="s">
        <v>9</v>
      </c>
      <c r="G3522" s="1428"/>
      <c r="H3522" s="1429"/>
      <c r="I3522" s="20">
        <v>1.06</v>
      </c>
      <c r="J3522" s="20"/>
      <c r="K3522" s="405">
        <f>+E3522*I3522</f>
        <v>143.8314</v>
      </c>
      <c r="L3522" s="20" t="s">
        <v>9</v>
      </c>
      <c r="M3522" s="419"/>
      <c r="N3522" s="420"/>
      <c r="O3522" s="43"/>
      <c r="P3522" s="672"/>
      <c r="Q3522" s="671"/>
      <c r="R3522" s="673"/>
    </row>
    <row r="3523" spans="1:18" ht="30" customHeight="1" x14ac:dyDescent="0.25">
      <c r="A3523" s="61" t="s">
        <v>691</v>
      </c>
      <c r="B3523" s="186" t="s">
        <v>2274</v>
      </c>
      <c r="C3523" s="186"/>
      <c r="D3523" s="186"/>
      <c r="E3523" s="405">
        <v>3.71</v>
      </c>
      <c r="F3523" s="20" t="s">
        <v>9</v>
      </c>
      <c r="G3523" s="522"/>
      <c r="H3523" s="20"/>
      <c r="I3523" s="20">
        <v>1.06</v>
      </c>
      <c r="J3523" s="20"/>
      <c r="K3523" s="405">
        <f>+E3523*I3523</f>
        <v>3.9326000000000003</v>
      </c>
      <c r="L3523" s="20" t="s">
        <v>9</v>
      </c>
      <c r="M3523" s="419"/>
      <c r="N3523" s="420"/>
      <c r="O3523"/>
      <c r="P3523" s="412"/>
      <c r="Q3523" s="391"/>
      <c r="R3523" s="393"/>
    </row>
    <row r="3524" spans="1:18" ht="30" customHeight="1" x14ac:dyDescent="0.25">
      <c r="A3524" s="61"/>
      <c r="B3524" s="20"/>
      <c r="C3524" s="18"/>
      <c r="D3524" s="18"/>
      <c r="E3524" s="18"/>
      <c r="F3524" s="18"/>
      <c r="G3524" s="18"/>
      <c r="H3524" s="18"/>
      <c r="I3524" s="18"/>
      <c r="J3524" s="20" t="s">
        <v>578</v>
      </c>
      <c r="K3524" s="23">
        <f>SUM(K3522:K3523)</f>
        <v>147.76400000000001</v>
      </c>
      <c r="L3524" s="20" t="s">
        <v>9</v>
      </c>
      <c r="M3524" s="425"/>
      <c r="N3524" s="420"/>
      <c r="O3524"/>
      <c r="P3524" s="412"/>
      <c r="Q3524" s="391"/>
      <c r="R3524" s="393"/>
    </row>
    <row r="3525" spans="1:18" ht="30" customHeight="1" x14ac:dyDescent="0.25">
      <c r="A3525" s="61"/>
      <c r="B3525" s="410"/>
      <c r="C3525" s="410"/>
      <c r="D3525" s="410"/>
      <c r="E3525" s="405"/>
      <c r="F3525" s="338" t="s">
        <v>533</v>
      </c>
      <c r="G3525" s="339" t="s">
        <v>534</v>
      </c>
      <c r="H3525" s="339"/>
      <c r="I3525" s="339"/>
      <c r="J3525" s="339"/>
      <c r="K3525" s="340">
        <v>1.07</v>
      </c>
      <c r="L3525" s="10"/>
      <c r="M3525" s="419"/>
      <c r="N3525" s="420"/>
      <c r="O3525"/>
      <c r="P3525" s="412"/>
      <c r="Q3525" s="391"/>
      <c r="R3525" s="393"/>
    </row>
    <row r="3526" spans="1:18" ht="30" customHeight="1" x14ac:dyDescent="0.25">
      <c r="A3526" s="61"/>
      <c r="B3526" s="410"/>
      <c r="C3526" s="410"/>
      <c r="D3526" s="410"/>
      <c r="E3526" s="405"/>
      <c r="F3526" s="343"/>
      <c r="G3526" s="344" t="s">
        <v>535</v>
      </c>
      <c r="H3526" s="344"/>
      <c r="I3526" s="344"/>
      <c r="J3526" s="344"/>
      <c r="K3526" s="340">
        <v>1.02</v>
      </c>
      <c r="L3526" s="10"/>
      <c r="M3526" s="419"/>
      <c r="N3526" s="420"/>
      <c r="O3526"/>
      <c r="P3526" s="412"/>
      <c r="Q3526" s="391"/>
      <c r="R3526" s="393"/>
    </row>
    <row r="3527" spans="1:18" s="49" customFormat="1" ht="30" customHeight="1" x14ac:dyDescent="0.25">
      <c r="A3527" s="61"/>
      <c r="B3527" s="20"/>
      <c r="C3527" s="18"/>
      <c r="D3527" s="18"/>
      <c r="E3527" s="18"/>
      <c r="F3527" s="18"/>
      <c r="G3527" s="18"/>
      <c r="H3527" s="18"/>
      <c r="I3527" s="18"/>
      <c r="J3527" s="20" t="s">
        <v>358</v>
      </c>
      <c r="K3527" s="23">
        <f>+K3524*K3525/K3526</f>
        <v>155.00733333333335</v>
      </c>
      <c r="L3527" s="20" t="s">
        <v>9</v>
      </c>
      <c r="M3527" s="419"/>
      <c r="N3527" s="420"/>
      <c r="P3527" s="412"/>
      <c r="Q3527" s="391"/>
      <c r="R3527" s="393"/>
    </row>
    <row r="3528" spans="1:18" ht="30" customHeight="1" thickBot="1" x14ac:dyDescent="0.3">
      <c r="A3528" s="61"/>
      <c r="B3528" s="20"/>
      <c r="C3528" s="18"/>
      <c r="D3528" s="18"/>
      <c r="E3528" s="18"/>
      <c r="F3528" s="18"/>
      <c r="G3528" s="413" t="s">
        <v>537</v>
      </c>
      <c r="H3528" s="18"/>
      <c r="I3528" s="18"/>
      <c r="J3528" s="361">
        <f>VLOOKUP(B3520,'Mil Cost Premiums for RUCs'!$A$4:$R$265,18,FALSE)</f>
        <v>1.3319480854780448</v>
      </c>
      <c r="K3528" s="23">
        <f>+K3527*J3528</f>
        <v>206.46172086839047</v>
      </c>
      <c r="L3528" s="20" t="s">
        <v>9</v>
      </c>
      <c r="M3528" s="670"/>
      <c r="N3528" s="420"/>
      <c r="O3528"/>
      <c r="P3528" s="412"/>
      <c r="Q3528" s="391"/>
      <c r="R3528" s="393"/>
    </row>
    <row r="3529" spans="1:18" ht="30" customHeight="1" thickBot="1" x14ac:dyDescent="0.3">
      <c r="A3529" s="76"/>
      <c r="B3529" s="77"/>
      <c r="C3529" s="77"/>
      <c r="D3529" s="77"/>
      <c r="E3529" s="77"/>
      <c r="F3529" s="77"/>
      <c r="G3529" s="77"/>
      <c r="H3529" s="77"/>
      <c r="I3529" s="77"/>
      <c r="J3529" s="77"/>
      <c r="K3529" s="77"/>
      <c r="L3529" s="78"/>
      <c r="M3529" s="670"/>
      <c r="N3529" s="420"/>
      <c r="O3529"/>
      <c r="P3529" s="412"/>
      <c r="Q3529" s="391"/>
      <c r="R3529" s="393"/>
    </row>
    <row r="3530" spans="1:18" ht="30" customHeight="1" x14ac:dyDescent="0.25">
      <c r="A3530" s="1379" t="s">
        <v>288</v>
      </c>
      <c r="B3530" s="1380">
        <v>7417</v>
      </c>
      <c r="C3530" s="1381" t="s">
        <v>2288</v>
      </c>
      <c r="D3530" s="1382"/>
      <c r="E3530" s="1383" t="s">
        <v>291</v>
      </c>
      <c r="F3530" s="1384" t="s">
        <v>9</v>
      </c>
      <c r="G3530" s="123" t="s">
        <v>375</v>
      </c>
      <c r="H3530" s="1385">
        <v>8230</v>
      </c>
      <c r="I3530" s="177" t="s">
        <v>292</v>
      </c>
      <c r="J3530" s="38" t="s">
        <v>883</v>
      </c>
      <c r="K3530" s="38"/>
      <c r="L3530" s="389"/>
      <c r="M3530" s="419"/>
      <c r="N3530" s="671"/>
      <c r="O3530"/>
      <c r="P3530" s="412"/>
      <c r="Q3530" s="391"/>
      <c r="R3530" s="393"/>
    </row>
    <row r="3531" spans="1:18" ht="30" customHeight="1" x14ac:dyDescent="0.25">
      <c r="A3531" s="1386" t="s">
        <v>529</v>
      </c>
      <c r="B3531" s="1387" t="s">
        <v>560</v>
      </c>
      <c r="C3531" s="1388"/>
      <c r="D3531" s="1389"/>
      <c r="E3531" s="1390" t="s">
        <v>519</v>
      </c>
      <c r="F3531" s="1390" t="s">
        <v>561</v>
      </c>
      <c r="G3531" s="1391" t="s">
        <v>562</v>
      </c>
      <c r="H3531" s="1392"/>
      <c r="I3531" s="1393" t="s">
        <v>2205</v>
      </c>
      <c r="J3531" s="1393"/>
      <c r="K3531" s="288" t="s">
        <v>521</v>
      </c>
      <c r="L3531" s="289"/>
      <c r="M3531" s="419"/>
      <c r="N3531" s="671"/>
      <c r="O3531" s="43"/>
      <c r="P3531" s="672"/>
      <c r="Q3531" s="671"/>
      <c r="R3531" s="673"/>
    </row>
    <row r="3532" spans="1:18" ht="30" customHeight="1" x14ac:dyDescent="0.25">
      <c r="A3532" s="1394" t="s">
        <v>2289</v>
      </c>
      <c r="B3532" s="1395" t="s">
        <v>2290</v>
      </c>
      <c r="C3532" s="1396"/>
      <c r="D3532" s="1397"/>
      <c r="E3532" s="1398">
        <v>128</v>
      </c>
      <c r="F3532" s="1399" t="s">
        <v>9</v>
      </c>
      <c r="G3532" s="1400"/>
      <c r="H3532" s="1401"/>
      <c r="I3532" s="1402">
        <v>1.04</v>
      </c>
      <c r="J3532" s="1402"/>
      <c r="K3532" s="1398">
        <f>+E3532*I3532</f>
        <v>133.12</v>
      </c>
      <c r="L3532" s="1402" t="s">
        <v>9</v>
      </c>
      <c r="M3532" s="419"/>
      <c r="N3532" s="420"/>
      <c r="O3532" s="43"/>
      <c r="P3532" s="672"/>
      <c r="Q3532" s="671"/>
      <c r="R3532" s="673"/>
    </row>
    <row r="3533" spans="1:18" ht="30" customHeight="1" x14ac:dyDescent="0.25">
      <c r="A3533" s="1403" t="s">
        <v>2283</v>
      </c>
      <c r="B3533" s="186" t="s">
        <v>2274</v>
      </c>
      <c r="C3533" s="186"/>
      <c r="D3533" s="186"/>
      <c r="E3533" s="1398">
        <v>3.75</v>
      </c>
      <c r="F3533" s="1402" t="s">
        <v>9</v>
      </c>
      <c r="G3533" s="1404">
        <f>306/1204</f>
        <v>0.25415282392026578</v>
      </c>
      <c r="H3533" s="1402" t="s">
        <v>2291</v>
      </c>
      <c r="I3533" s="1402">
        <v>1.04</v>
      </c>
      <c r="J3533" s="1402"/>
      <c r="K3533" s="1398">
        <f>+E3533*G3533*I3533</f>
        <v>0.99119601328903661</v>
      </c>
      <c r="L3533" s="1402" t="s">
        <v>9</v>
      </c>
      <c r="N3533" s="420"/>
      <c r="O3533"/>
      <c r="P3533" s="412"/>
      <c r="Q3533" s="391"/>
      <c r="R3533" s="393"/>
    </row>
    <row r="3534" spans="1:18" ht="30" customHeight="1" x14ac:dyDescent="0.25">
      <c r="A3534" s="1402"/>
      <c r="B3534" s="1395"/>
      <c r="C3534" s="1396"/>
      <c r="D3534" s="1397"/>
      <c r="E3534" s="1398"/>
      <c r="F3534" s="1402"/>
      <c r="G3534" s="1402"/>
      <c r="H3534" s="1402"/>
      <c r="I3534" s="1402"/>
      <c r="J3534" s="1402" t="s">
        <v>578</v>
      </c>
      <c r="K3534" s="1398">
        <f>SUM(K3532:K3533)</f>
        <v>134.11119601328903</v>
      </c>
      <c r="L3534" s="1402" t="s">
        <v>9</v>
      </c>
      <c r="M3534" s="425"/>
      <c r="N3534" s="420"/>
      <c r="O3534"/>
      <c r="P3534" s="412"/>
      <c r="Q3534" s="391"/>
      <c r="R3534" s="393"/>
    </row>
    <row r="3535" spans="1:18" ht="30" customHeight="1" x14ac:dyDescent="0.25">
      <c r="A3535" s="61"/>
      <c r="B3535" s="410"/>
      <c r="C3535" s="410"/>
      <c r="D3535" s="410"/>
      <c r="E3535" s="405"/>
      <c r="F3535" s="338" t="s">
        <v>533</v>
      </c>
      <c r="G3535" s="339" t="s">
        <v>534</v>
      </c>
      <c r="H3535" s="339"/>
      <c r="I3535" s="339"/>
      <c r="J3535" s="339"/>
      <c r="K3535" s="340">
        <v>1.07</v>
      </c>
      <c r="L3535" s="10"/>
      <c r="M3535" s="419"/>
      <c r="N3535" s="1343"/>
      <c r="O3535"/>
      <c r="P3535" s="412"/>
      <c r="Q3535" s="391"/>
      <c r="R3535" s="393"/>
    </row>
    <row r="3536" spans="1:18" ht="30" customHeight="1" x14ac:dyDescent="0.25">
      <c r="A3536" s="61"/>
      <c r="B3536" s="410"/>
      <c r="C3536" s="410"/>
      <c r="D3536" s="410"/>
      <c r="E3536" s="405"/>
      <c r="F3536" s="343"/>
      <c r="G3536" s="344" t="s">
        <v>535</v>
      </c>
      <c r="H3536" s="344"/>
      <c r="I3536" s="344"/>
      <c r="J3536" s="344"/>
      <c r="K3536" s="340">
        <v>1.02</v>
      </c>
      <c r="L3536" s="10"/>
      <c r="M3536" s="419"/>
      <c r="N3536" s="420"/>
      <c r="O3536"/>
      <c r="P3536" s="412"/>
      <c r="Q3536" s="391"/>
      <c r="R3536" s="393"/>
    </row>
    <row r="3537" spans="1:18" s="49" customFormat="1" ht="30" customHeight="1" x14ac:dyDescent="0.25">
      <c r="A3537" s="1402"/>
      <c r="B3537" s="1402"/>
      <c r="C3537" s="1408"/>
      <c r="D3537" s="1408"/>
      <c r="E3537" s="1408"/>
      <c r="F3537" s="1408"/>
      <c r="G3537" s="1408"/>
      <c r="H3537" s="1408"/>
      <c r="I3537" s="1408"/>
      <c r="J3537" s="1402" t="s">
        <v>358</v>
      </c>
      <c r="K3537" s="1409">
        <f>+K3534*K3535/K3536</f>
        <v>140.68527424923457</v>
      </c>
      <c r="L3537" s="1402" t="s">
        <v>9</v>
      </c>
      <c r="M3537" s="419"/>
      <c r="N3537" s="420"/>
      <c r="P3537" s="412"/>
      <c r="Q3537" s="391"/>
      <c r="R3537" s="393"/>
    </row>
    <row r="3538" spans="1:18" ht="30" customHeight="1" x14ac:dyDescent="0.25">
      <c r="A3538" s="1402"/>
      <c r="B3538" s="1402"/>
      <c r="C3538" s="1408"/>
      <c r="D3538" s="1408"/>
      <c r="E3538" s="1408"/>
      <c r="F3538" s="1408"/>
      <c r="G3538" s="556"/>
      <c r="H3538" s="1408"/>
      <c r="I3538" s="1420" t="s">
        <v>652</v>
      </c>
      <c r="J3538" s="361">
        <f>VLOOKUP(B3530,'Mil Cost Premiums for RUCs'!$A$4:$R$265,18,FALSE)</f>
        <v>1.2981950150858137</v>
      </c>
      <c r="K3538" s="1409">
        <f>+K3537*J3538</f>
        <v>182.63692172633691</v>
      </c>
      <c r="L3538" s="1402" t="s">
        <v>9</v>
      </c>
      <c r="M3538" s="670"/>
      <c r="N3538" s="420"/>
      <c r="O3538"/>
      <c r="P3538" s="412"/>
      <c r="Q3538" s="391"/>
      <c r="R3538" s="393"/>
    </row>
    <row r="3539" spans="1:18" ht="75" customHeight="1" x14ac:dyDescent="0.25">
      <c r="A3539" s="580" t="s">
        <v>538</v>
      </c>
      <c r="B3539" s="532"/>
      <c r="C3539" s="532"/>
      <c r="D3539" s="532"/>
      <c r="E3539" s="532"/>
      <c r="F3539" s="532"/>
      <c r="G3539" s="532"/>
      <c r="H3539" s="532"/>
      <c r="I3539" s="532"/>
      <c r="J3539" s="532"/>
      <c r="K3539" s="532"/>
      <c r="L3539" s="533"/>
      <c r="M3539" s="670"/>
      <c r="N3539" s="420"/>
      <c r="O3539"/>
      <c r="P3539" s="412"/>
      <c r="Q3539" s="391"/>
      <c r="R3539" s="393"/>
    </row>
    <row r="3540" spans="1:18" ht="30" customHeight="1" x14ac:dyDescent="0.25">
      <c r="A3540" s="217" t="s">
        <v>539</v>
      </c>
      <c r="B3540" s="218"/>
      <c r="C3540" s="219"/>
      <c r="D3540" s="386" t="s">
        <v>2214</v>
      </c>
      <c r="E3540" s="849"/>
      <c r="F3540" s="849"/>
      <c r="G3540" s="849"/>
      <c r="H3540" s="849"/>
      <c r="I3540" s="849"/>
      <c r="J3540" s="849"/>
      <c r="K3540" s="849"/>
      <c r="L3540" s="850"/>
      <c r="M3540" s="419"/>
      <c r="N3540" s="671"/>
      <c r="O3540"/>
      <c r="P3540" s="412"/>
      <c r="Q3540" s="391"/>
      <c r="R3540" s="393"/>
    </row>
    <row r="3541" spans="1:18" ht="30" customHeight="1" x14ac:dyDescent="0.25">
      <c r="A3541" s="217" t="s">
        <v>541</v>
      </c>
      <c r="B3541" s="218"/>
      <c r="C3541" s="219"/>
      <c r="D3541" s="386" t="s">
        <v>2026</v>
      </c>
      <c r="E3541" s="849"/>
      <c r="F3541" s="849"/>
      <c r="G3541" s="849"/>
      <c r="H3541" s="849"/>
      <c r="I3541" s="849"/>
      <c r="J3541" s="849"/>
      <c r="K3541" s="849"/>
      <c r="L3541" s="850"/>
      <c r="M3541" s="419"/>
      <c r="N3541" s="671"/>
      <c r="O3541" s="43"/>
      <c r="P3541" s="672"/>
      <c r="Q3541" s="671"/>
      <c r="R3541" s="673"/>
    </row>
    <row r="3542" spans="1:18" ht="30" customHeight="1" x14ac:dyDescent="0.25">
      <c r="A3542" s="217" t="s">
        <v>543</v>
      </c>
      <c r="B3542" s="218"/>
      <c r="C3542" s="219"/>
      <c r="D3542" s="386" t="s">
        <v>2292</v>
      </c>
      <c r="E3542" s="849"/>
      <c r="F3542" s="849"/>
      <c r="G3542" s="849"/>
      <c r="H3542" s="849"/>
      <c r="I3542" s="849"/>
      <c r="J3542" s="849"/>
      <c r="K3542" s="849"/>
      <c r="L3542" s="850"/>
      <c r="M3542" s="419"/>
      <c r="N3542" s="420"/>
      <c r="O3542" s="43"/>
      <c r="P3542" s="672"/>
      <c r="Q3542" s="671"/>
      <c r="R3542" s="673"/>
    </row>
    <row r="3543" spans="1:18" ht="75" customHeight="1" x14ac:dyDescent="0.25">
      <c r="A3543" s="217" t="s">
        <v>546</v>
      </c>
      <c r="B3543" s="218"/>
      <c r="C3543" s="219"/>
      <c r="D3543" s="386" t="s">
        <v>2293</v>
      </c>
      <c r="E3543" s="849"/>
      <c r="F3543" s="849"/>
      <c r="G3543" s="849"/>
      <c r="H3543" s="849"/>
      <c r="I3543" s="849"/>
      <c r="J3543" s="849"/>
      <c r="K3543" s="849"/>
      <c r="L3543" s="850"/>
      <c r="M3543" s="1430"/>
      <c r="N3543" s="420"/>
      <c r="O3543"/>
      <c r="P3543" s="412"/>
      <c r="Q3543" s="391"/>
      <c r="R3543" s="393"/>
    </row>
    <row r="3544" spans="1:18" ht="30" customHeight="1" x14ac:dyDescent="0.25">
      <c r="A3544" s="217" t="s">
        <v>548</v>
      </c>
      <c r="B3544" s="218"/>
      <c r="C3544" s="219"/>
      <c r="D3544" s="386" t="s">
        <v>2236</v>
      </c>
      <c r="E3544" s="849"/>
      <c r="F3544" s="849"/>
      <c r="G3544" s="849"/>
      <c r="H3544" s="849"/>
      <c r="I3544" s="849"/>
      <c r="J3544" s="849"/>
      <c r="K3544" s="849"/>
      <c r="L3544" s="850"/>
      <c r="M3544" s="425"/>
      <c r="N3544" s="420"/>
      <c r="O3544"/>
      <c r="P3544" s="412"/>
      <c r="Q3544" s="391"/>
      <c r="R3544" s="393"/>
    </row>
    <row r="3545" spans="1:18" ht="30" customHeight="1" x14ac:dyDescent="0.25">
      <c r="A3545" s="217" t="s">
        <v>550</v>
      </c>
      <c r="B3545" s="218"/>
      <c r="C3545" s="219"/>
      <c r="D3545" s="386" t="s">
        <v>551</v>
      </c>
      <c r="E3545" s="849"/>
      <c r="F3545" s="849"/>
      <c r="G3545" s="849"/>
      <c r="H3545" s="849"/>
      <c r="I3545" s="849"/>
      <c r="J3545" s="849"/>
      <c r="K3545" s="849"/>
      <c r="L3545" s="850"/>
      <c r="M3545" s="419"/>
      <c r="N3545" s="420"/>
      <c r="O3545"/>
      <c r="P3545" s="412"/>
      <c r="Q3545" s="391"/>
      <c r="R3545" s="393"/>
    </row>
    <row r="3546" spans="1:18" ht="30" customHeight="1" x14ac:dyDescent="0.25">
      <c r="A3546" s="217" t="s">
        <v>552</v>
      </c>
      <c r="B3546" s="218"/>
      <c r="C3546" s="219"/>
      <c r="D3546" s="386" t="s">
        <v>2030</v>
      </c>
      <c r="E3546" s="849"/>
      <c r="F3546" s="849"/>
      <c r="G3546" s="849"/>
      <c r="H3546" s="849"/>
      <c r="I3546" s="849"/>
      <c r="J3546" s="849"/>
      <c r="K3546" s="849"/>
      <c r="L3546" s="850"/>
      <c r="M3546" s="1430"/>
      <c r="N3546" s="420"/>
      <c r="O3546"/>
      <c r="P3546" s="412"/>
      <c r="Q3546" s="391"/>
      <c r="R3546" s="393"/>
    </row>
    <row r="3547" spans="1:18" s="49" customFormat="1" ht="30" customHeight="1" x14ac:dyDescent="0.25">
      <c r="A3547" s="217" t="s">
        <v>553</v>
      </c>
      <c r="B3547" s="218"/>
      <c r="C3547" s="219"/>
      <c r="D3547" s="386" t="s">
        <v>660</v>
      </c>
      <c r="E3547" s="849"/>
      <c r="F3547" s="849"/>
      <c r="G3547" s="849"/>
      <c r="H3547" s="849"/>
      <c r="I3547" s="849"/>
      <c r="J3547" s="849"/>
      <c r="K3547" s="849"/>
      <c r="L3547" s="850"/>
      <c r="M3547" s="419"/>
      <c r="N3547" s="420"/>
      <c r="P3547" s="412"/>
      <c r="Q3547" s="391"/>
      <c r="R3547" s="393"/>
    </row>
    <row r="3548" spans="1:18" ht="45" customHeight="1" thickBot="1" x14ac:dyDescent="0.3">
      <c r="A3548" s="217" t="s">
        <v>556</v>
      </c>
      <c r="B3548" s="218"/>
      <c r="C3548" s="219"/>
      <c r="D3548" s="386" t="s">
        <v>2294</v>
      </c>
      <c r="E3548" s="849"/>
      <c r="F3548" s="849"/>
      <c r="G3548" s="849"/>
      <c r="H3548" s="849"/>
      <c r="I3548" s="849"/>
      <c r="J3548" s="849"/>
      <c r="K3548" s="849"/>
      <c r="L3548" s="850"/>
      <c r="M3548" s="670"/>
      <c r="N3548" s="1431"/>
      <c r="O3548"/>
      <c r="P3548" s="412"/>
      <c r="Q3548" s="391"/>
      <c r="R3548" s="393"/>
    </row>
    <row r="3549" spans="1:18" ht="30" customHeight="1" thickBot="1" x14ac:dyDescent="0.3">
      <c r="A3549" s="76"/>
      <c r="B3549" s="77"/>
      <c r="C3549" s="77"/>
      <c r="D3549" s="77"/>
      <c r="E3549" s="77"/>
      <c r="F3549" s="77"/>
      <c r="G3549" s="77"/>
      <c r="H3549" s="77"/>
      <c r="I3549" s="77"/>
      <c r="J3549" s="77"/>
      <c r="K3549" s="77"/>
      <c r="L3549" s="78"/>
      <c r="M3549" s="670"/>
      <c r="N3549" s="420"/>
      <c r="O3549"/>
      <c r="P3549" s="412"/>
      <c r="Q3549" s="391"/>
      <c r="R3549" s="393"/>
    </row>
    <row r="3550" spans="1:18" ht="30" customHeight="1" x14ac:dyDescent="0.25">
      <c r="A3550" s="207" t="s">
        <v>288</v>
      </c>
      <c r="B3550" s="208">
        <v>7418</v>
      </c>
      <c r="C3550" s="209" t="s">
        <v>2295</v>
      </c>
      <c r="D3550" s="210"/>
      <c r="E3550" s="177" t="s">
        <v>291</v>
      </c>
      <c r="F3550" s="178" t="s">
        <v>9</v>
      </c>
      <c r="G3550" s="123" t="s">
        <v>375</v>
      </c>
      <c r="H3550" s="179">
        <v>18821</v>
      </c>
      <c r="I3550" s="177" t="s">
        <v>292</v>
      </c>
      <c r="J3550" s="38" t="s">
        <v>883</v>
      </c>
      <c r="K3550" s="38"/>
      <c r="L3550" s="389"/>
      <c r="M3550" s="419"/>
      <c r="N3550" s="671"/>
      <c r="O3550"/>
      <c r="P3550" s="412"/>
      <c r="Q3550" s="391"/>
      <c r="R3550" s="393"/>
    </row>
    <row r="3551" spans="1:18" ht="30" customHeight="1" x14ac:dyDescent="0.25">
      <c r="A3551" s="185" t="s">
        <v>529</v>
      </c>
      <c r="B3551" s="394" t="s">
        <v>560</v>
      </c>
      <c r="C3551" s="395"/>
      <c r="D3551" s="396"/>
      <c r="E3551" s="397" t="s">
        <v>519</v>
      </c>
      <c r="F3551" s="397" t="s">
        <v>561</v>
      </c>
      <c r="G3551" s="398" t="s">
        <v>562</v>
      </c>
      <c r="H3551" s="399"/>
      <c r="I3551" s="181" t="s">
        <v>530</v>
      </c>
      <c r="J3551" s="181"/>
      <c r="K3551" s="288" t="s">
        <v>521</v>
      </c>
      <c r="L3551" s="289"/>
      <c r="M3551" s="419"/>
      <c r="N3551" s="671"/>
      <c r="O3551" s="43"/>
      <c r="P3551" s="672"/>
      <c r="Q3551" s="671"/>
      <c r="R3551" s="673"/>
    </row>
    <row r="3552" spans="1:18" ht="30" customHeight="1" x14ac:dyDescent="0.25">
      <c r="A3552" s="778" t="s">
        <v>2296</v>
      </c>
      <c r="B3552" s="503" t="s">
        <v>2297</v>
      </c>
      <c r="C3552" s="504"/>
      <c r="D3552" s="505"/>
      <c r="E3552" s="405">
        <v>94</v>
      </c>
      <c r="F3552" s="22" t="s">
        <v>9</v>
      </c>
      <c r="G3552" s="1428"/>
      <c r="H3552" s="1429"/>
      <c r="I3552" s="20">
        <v>1.04</v>
      </c>
      <c r="J3552" s="20"/>
      <c r="K3552" s="405">
        <f>+E3552*I3552</f>
        <v>97.76</v>
      </c>
      <c r="L3552" s="20" t="s">
        <v>9</v>
      </c>
      <c r="M3552" s="419"/>
      <c r="N3552" s="420"/>
      <c r="O3552" s="43"/>
      <c r="P3552" s="672"/>
      <c r="Q3552" s="671"/>
      <c r="R3552" s="673"/>
    </row>
    <row r="3553" spans="1:18" ht="30" customHeight="1" x14ac:dyDescent="0.25">
      <c r="A3553" s="20" t="s">
        <v>2283</v>
      </c>
      <c r="B3553" s="186" t="s">
        <v>2284</v>
      </c>
      <c r="C3553" s="186"/>
      <c r="D3553" s="186"/>
      <c r="E3553" s="405">
        <v>3.34</v>
      </c>
      <c r="F3553" s="20" t="s">
        <v>9</v>
      </c>
      <c r="G3553" s="522"/>
      <c r="H3553" s="20"/>
      <c r="I3553" s="20">
        <v>1.04</v>
      </c>
      <c r="J3553" s="20"/>
      <c r="K3553" s="405">
        <f>+E3553*I3553</f>
        <v>3.4735999999999998</v>
      </c>
      <c r="L3553" s="20" t="s">
        <v>9</v>
      </c>
      <c r="M3553" s="419"/>
      <c r="N3553" s="420"/>
      <c r="O3553"/>
      <c r="P3553" s="412"/>
      <c r="Q3553" s="391"/>
      <c r="R3553" s="393"/>
    </row>
    <row r="3554" spans="1:18" ht="30" customHeight="1" x14ac:dyDescent="0.25">
      <c r="A3554" s="1402"/>
      <c r="B3554" s="1395"/>
      <c r="C3554" s="1396"/>
      <c r="D3554" s="1397"/>
      <c r="E3554" s="1398"/>
      <c r="F3554" s="1402"/>
      <c r="G3554" s="1402"/>
      <c r="H3554" s="1402"/>
      <c r="I3554" s="1402"/>
      <c r="J3554" s="1402" t="s">
        <v>578</v>
      </c>
      <c r="K3554" s="1398">
        <f>SUM(K3552:K3553)</f>
        <v>101.23360000000001</v>
      </c>
      <c r="L3554" s="1402" t="s">
        <v>9</v>
      </c>
      <c r="N3554" s="420"/>
      <c r="O3554"/>
      <c r="P3554" s="412"/>
      <c r="Q3554" s="391"/>
      <c r="R3554" s="393"/>
    </row>
    <row r="3555" spans="1:18" ht="30" customHeight="1" x14ac:dyDescent="0.25">
      <c r="A3555" s="20"/>
      <c r="B3555" s="410"/>
      <c r="C3555" s="410"/>
      <c r="D3555" s="410"/>
      <c r="E3555" s="405"/>
      <c r="F3555" s="338" t="s">
        <v>533</v>
      </c>
      <c r="G3555" s="339" t="s">
        <v>534</v>
      </c>
      <c r="H3555" s="339"/>
      <c r="I3555" s="339"/>
      <c r="J3555" s="339"/>
      <c r="K3555" s="340">
        <v>1.07</v>
      </c>
      <c r="L3555" s="10"/>
      <c r="M3555" s="419"/>
      <c r="N3555" s="420"/>
      <c r="O3555"/>
      <c r="P3555" s="412"/>
      <c r="Q3555" s="391"/>
      <c r="R3555" s="393"/>
    </row>
    <row r="3556" spans="1:18" ht="30" customHeight="1" x14ac:dyDescent="0.25">
      <c r="A3556" s="20"/>
      <c r="B3556" s="410"/>
      <c r="C3556" s="410"/>
      <c r="D3556" s="410"/>
      <c r="E3556" s="405"/>
      <c r="F3556" s="343"/>
      <c r="G3556" s="344" t="s">
        <v>535</v>
      </c>
      <c r="H3556" s="344"/>
      <c r="I3556" s="344"/>
      <c r="J3556" s="344"/>
      <c r="K3556" s="340">
        <v>1.02</v>
      </c>
      <c r="L3556" s="10"/>
      <c r="M3556" s="419"/>
      <c r="N3556" s="1343"/>
      <c r="O3556"/>
      <c r="P3556" s="412"/>
      <c r="Q3556" s="391"/>
      <c r="R3556" s="393"/>
    </row>
    <row r="3557" spans="1:18" s="49" customFormat="1" ht="30" customHeight="1" x14ac:dyDescent="0.25">
      <c r="A3557" s="20"/>
      <c r="B3557" s="20"/>
      <c r="C3557" s="18"/>
      <c r="D3557" s="18"/>
      <c r="E3557" s="18"/>
      <c r="F3557" s="18"/>
      <c r="G3557" s="18"/>
      <c r="H3557" s="18"/>
      <c r="I3557" s="18"/>
      <c r="J3557" s="20" t="s">
        <v>358</v>
      </c>
      <c r="K3557" s="23">
        <f>+K3554*K3555/K3556</f>
        <v>106.19603137254903</v>
      </c>
      <c r="L3557" s="20" t="s">
        <v>9</v>
      </c>
      <c r="M3557" s="419"/>
      <c r="N3557" s="420"/>
      <c r="P3557" s="412"/>
      <c r="Q3557" s="391"/>
      <c r="R3557" s="393"/>
    </row>
    <row r="3558" spans="1:18" ht="30" customHeight="1" thickBot="1" x14ac:dyDescent="0.3">
      <c r="A3558" s="20"/>
      <c r="B3558" s="20"/>
      <c r="C3558" s="18"/>
      <c r="D3558" s="18"/>
      <c r="E3558" s="18"/>
      <c r="F3558" s="18"/>
      <c r="G3558" s="413" t="s">
        <v>537</v>
      </c>
      <c r="H3558" s="18"/>
      <c r="I3558" s="18"/>
      <c r="J3558" s="361">
        <f>VLOOKUP(B3550,'Mil Cost Premiums for RUCs'!$A$4:$R$265,18,FALSE)</f>
        <v>1.1896666233280813</v>
      </c>
      <c r="K3558" s="23">
        <f>+K3557*J3558</f>
        <v>126.33787405382338</v>
      </c>
      <c r="L3558" s="20" t="s">
        <v>9</v>
      </c>
      <c r="M3558" s="670"/>
      <c r="N3558" s="420"/>
      <c r="O3558"/>
      <c r="P3558" s="412"/>
      <c r="Q3558" s="391"/>
      <c r="R3558" s="393"/>
    </row>
    <row r="3559" spans="1:18" ht="30" customHeight="1" thickBot="1" x14ac:dyDescent="0.3">
      <c r="A3559" s="76"/>
      <c r="B3559" s="77"/>
      <c r="C3559" s="77"/>
      <c r="D3559" s="77"/>
      <c r="E3559" s="77"/>
      <c r="F3559" s="77"/>
      <c r="G3559" s="77"/>
      <c r="H3559" s="77"/>
      <c r="I3559" s="77"/>
      <c r="J3559" s="77"/>
      <c r="K3559" s="77"/>
      <c r="L3559" s="78"/>
      <c r="M3559" s="670"/>
      <c r="N3559" s="420"/>
      <c r="O3559"/>
      <c r="P3559" s="412"/>
      <c r="Q3559" s="391"/>
      <c r="R3559" s="393"/>
    </row>
    <row r="3560" spans="1:18" ht="30" customHeight="1" x14ac:dyDescent="0.25">
      <c r="A3560" s="207" t="s">
        <v>288</v>
      </c>
      <c r="B3560" s="208">
        <v>7421</v>
      </c>
      <c r="C3560" s="484" t="s">
        <v>2298</v>
      </c>
      <c r="D3560" s="485"/>
      <c r="E3560" s="177" t="s">
        <v>291</v>
      </c>
      <c r="F3560" s="178" t="s">
        <v>9</v>
      </c>
      <c r="G3560" s="123" t="s">
        <v>375</v>
      </c>
      <c r="H3560" s="302">
        <v>18569</v>
      </c>
      <c r="I3560" s="177" t="s">
        <v>292</v>
      </c>
      <c r="J3560" s="38" t="s">
        <v>713</v>
      </c>
      <c r="K3560" s="39"/>
      <c r="L3560" s="40"/>
      <c r="M3560" s="419"/>
      <c r="N3560" s="671"/>
      <c r="O3560"/>
      <c r="P3560" s="412"/>
      <c r="Q3560" s="391"/>
      <c r="R3560" s="393"/>
    </row>
    <row r="3561" spans="1:18" ht="30" customHeight="1" x14ac:dyDescent="0.25">
      <c r="A3561" s="181" t="s">
        <v>517</v>
      </c>
      <c r="B3561" s="180" t="s">
        <v>295</v>
      </c>
      <c r="C3561" s="180"/>
      <c r="D3561" s="180"/>
      <c r="E3561" s="285" t="s">
        <v>519</v>
      </c>
      <c r="F3561" s="181" t="s">
        <v>518</v>
      </c>
      <c r="G3561" s="665" t="s">
        <v>562</v>
      </c>
      <c r="H3561" s="666"/>
      <c r="I3561" s="286" t="s">
        <v>702</v>
      </c>
      <c r="J3561" s="287"/>
      <c r="K3561" s="288" t="s">
        <v>521</v>
      </c>
      <c r="L3561" s="289"/>
      <c r="M3561" s="419"/>
      <c r="N3561" s="671"/>
      <c r="O3561" s="43"/>
      <c r="P3561" s="672"/>
      <c r="Q3561" s="671"/>
      <c r="R3561" s="673"/>
    </row>
    <row r="3562" spans="1:18" ht="30" customHeight="1" x14ac:dyDescent="0.25">
      <c r="A3562" s="20">
        <v>74028</v>
      </c>
      <c r="B3562" s="503" t="s">
        <v>868</v>
      </c>
      <c r="C3562" s="504"/>
      <c r="D3562" s="505"/>
      <c r="E3562" s="405">
        <v>250</v>
      </c>
      <c r="F3562" s="729">
        <v>62000</v>
      </c>
      <c r="G3562" s="1126"/>
      <c r="H3562" s="680"/>
      <c r="I3562" s="1109">
        <f>+'MILCON Inflation Table'!$F$16</f>
        <v>0.96211202832457809</v>
      </c>
      <c r="J3562" s="1110"/>
      <c r="K3562" s="304">
        <f>+E3562*I3562</f>
        <v>240.52800708114452</v>
      </c>
      <c r="L3562" s="290" t="s">
        <v>9</v>
      </c>
      <c r="M3562" s="419"/>
      <c r="N3562" s="420"/>
      <c r="O3562" s="43"/>
      <c r="P3562" s="672"/>
      <c r="Q3562" s="671"/>
      <c r="R3562" s="673"/>
    </row>
    <row r="3563" spans="1:18" ht="30" customHeight="1" thickBot="1" x14ac:dyDescent="0.3">
      <c r="A3563" s="20"/>
      <c r="B3563" s="503"/>
      <c r="C3563" s="504"/>
      <c r="D3563" s="505"/>
      <c r="E3563" s="465"/>
      <c r="F3563" s="763"/>
      <c r="G3563" s="465"/>
      <c r="H3563" s="764"/>
      <c r="I3563" s="18"/>
      <c r="J3563" s="185" t="s">
        <v>358</v>
      </c>
      <c r="K3563" s="305">
        <f>SUM(K3562:K3562)</f>
        <v>240.52800708114452</v>
      </c>
      <c r="L3563" s="290" t="s">
        <v>9</v>
      </c>
      <c r="M3563" s="419"/>
      <c r="N3563" s="420"/>
      <c r="O3563"/>
      <c r="P3563" s="412"/>
      <c r="Q3563" s="391"/>
      <c r="R3563" s="393"/>
    </row>
    <row r="3564" spans="1:18" ht="30" customHeight="1" thickBot="1" x14ac:dyDescent="0.3">
      <c r="A3564" s="76"/>
      <c r="B3564" s="77"/>
      <c r="C3564" s="77"/>
      <c r="D3564" s="77"/>
      <c r="E3564" s="77"/>
      <c r="F3564" s="77"/>
      <c r="G3564" s="77"/>
      <c r="H3564" s="77"/>
      <c r="I3564" s="77"/>
      <c r="J3564" s="77"/>
      <c r="K3564" s="77"/>
      <c r="L3564" s="78"/>
      <c r="M3564" s="1432"/>
      <c r="N3564" s="420"/>
      <c r="O3564"/>
      <c r="P3564" s="412"/>
      <c r="Q3564" s="391"/>
      <c r="R3564" s="393"/>
    </row>
    <row r="3565" spans="1:18" ht="30" customHeight="1" x14ac:dyDescent="0.25">
      <c r="A3565" s="207" t="s">
        <v>288</v>
      </c>
      <c r="B3565" s="208">
        <v>7422</v>
      </c>
      <c r="C3565" s="209" t="s">
        <v>2299</v>
      </c>
      <c r="D3565" s="210"/>
      <c r="E3565" s="177" t="s">
        <v>291</v>
      </c>
      <c r="F3565" s="178" t="s">
        <v>9</v>
      </c>
      <c r="G3565" s="250" t="s">
        <v>2188</v>
      </c>
      <c r="H3565" s="179">
        <v>9080</v>
      </c>
      <c r="I3565" s="177" t="s">
        <v>292</v>
      </c>
      <c r="J3565" s="38" t="s">
        <v>883</v>
      </c>
      <c r="K3565" s="38"/>
      <c r="L3565" s="389"/>
      <c r="M3565" s="419"/>
      <c r="N3565" s="420"/>
      <c r="O3565"/>
      <c r="P3565" s="412"/>
      <c r="Q3565" s="391"/>
      <c r="R3565" s="393"/>
    </row>
    <row r="3566" spans="1:18" ht="30" customHeight="1" x14ac:dyDescent="0.25">
      <c r="A3566" s="185" t="s">
        <v>529</v>
      </c>
      <c r="B3566" s="394" t="s">
        <v>560</v>
      </c>
      <c r="C3566" s="395"/>
      <c r="D3566" s="396"/>
      <c r="E3566" s="397" t="s">
        <v>519</v>
      </c>
      <c r="F3566" s="397" t="s">
        <v>561</v>
      </c>
      <c r="G3566" s="398" t="s">
        <v>562</v>
      </c>
      <c r="H3566" s="399"/>
      <c r="I3566" s="181" t="s">
        <v>530</v>
      </c>
      <c r="J3566" s="181"/>
      <c r="K3566" s="288" t="s">
        <v>521</v>
      </c>
      <c r="L3566" s="289"/>
      <c r="M3566" s="419"/>
      <c r="N3566" s="420"/>
      <c r="O3566"/>
      <c r="P3566" s="412"/>
      <c r="Q3566" s="391"/>
      <c r="R3566" s="393"/>
    </row>
    <row r="3567" spans="1:18" ht="30" customHeight="1" x14ac:dyDescent="0.25">
      <c r="A3567" s="778" t="s">
        <v>885</v>
      </c>
      <c r="B3567" s="503" t="s">
        <v>2300</v>
      </c>
      <c r="C3567" s="504"/>
      <c r="D3567" s="505"/>
      <c r="E3567" s="405">
        <v>119</v>
      </c>
      <c r="F3567" s="22" t="s">
        <v>9</v>
      </c>
      <c r="G3567" s="1428"/>
      <c r="H3567" s="1429"/>
      <c r="I3567" s="20">
        <v>1.04</v>
      </c>
      <c r="J3567" s="751"/>
      <c r="K3567" s="405">
        <f>+E3567*I3567</f>
        <v>123.76</v>
      </c>
      <c r="L3567" s="20" t="s">
        <v>9</v>
      </c>
      <c r="M3567" s="419"/>
      <c r="N3567" s="420"/>
      <c r="O3567"/>
      <c r="P3567" s="412"/>
      <c r="Q3567" s="391"/>
      <c r="R3567" s="393"/>
    </row>
    <row r="3568" spans="1:18" ht="30" customHeight="1" x14ac:dyDescent="0.25">
      <c r="A3568" s="20" t="s">
        <v>888</v>
      </c>
      <c r="B3568" s="186" t="s">
        <v>2274</v>
      </c>
      <c r="C3568" s="186"/>
      <c r="D3568" s="186"/>
      <c r="E3568" s="405">
        <v>3.72</v>
      </c>
      <c r="F3568" s="20" t="s">
        <v>9</v>
      </c>
      <c r="G3568" s="522"/>
      <c r="H3568" s="20"/>
      <c r="I3568" s="20">
        <v>1.04</v>
      </c>
      <c r="J3568" s="751"/>
      <c r="K3568" s="405">
        <f>+E3568*I3568</f>
        <v>3.8688000000000002</v>
      </c>
      <c r="L3568" s="20" t="s">
        <v>9</v>
      </c>
      <c r="M3568" s="670"/>
      <c r="N3568" s="420"/>
      <c r="O3568"/>
      <c r="P3568" s="412"/>
      <c r="Q3568" s="391"/>
      <c r="R3568" s="393"/>
    </row>
    <row r="3569" spans="1:21" ht="30" customHeight="1" x14ac:dyDescent="0.25">
      <c r="A3569" s="1402"/>
      <c r="B3569" s="1395"/>
      <c r="C3569" s="1396"/>
      <c r="D3569" s="1397"/>
      <c r="E3569" s="1398"/>
      <c r="F3569" s="1402"/>
      <c r="G3569" s="1402"/>
      <c r="H3569" s="1402"/>
      <c r="I3569" s="1402"/>
      <c r="J3569" s="1402" t="s">
        <v>578</v>
      </c>
      <c r="K3569" s="1398">
        <f>SUM(K3567:K3568)</f>
        <v>127.62880000000001</v>
      </c>
      <c r="L3569" s="1402" t="s">
        <v>9</v>
      </c>
      <c r="M3569" s="670"/>
      <c r="N3569" s="420"/>
      <c r="O3569"/>
      <c r="P3569" s="412"/>
      <c r="Q3569" s="391"/>
      <c r="R3569" s="393"/>
    </row>
    <row r="3570" spans="1:21" ht="30" customHeight="1" x14ac:dyDescent="0.25">
      <c r="A3570" s="20"/>
      <c r="B3570" s="410"/>
      <c r="C3570" s="410"/>
      <c r="D3570" s="410"/>
      <c r="E3570" s="405"/>
      <c r="F3570" s="338" t="s">
        <v>533</v>
      </c>
      <c r="G3570" s="339" t="s">
        <v>534</v>
      </c>
      <c r="H3570" s="339"/>
      <c r="I3570" s="339"/>
      <c r="J3570" s="339"/>
      <c r="K3570" s="340">
        <v>1.07</v>
      </c>
      <c r="L3570" s="10"/>
      <c r="M3570" s="419"/>
      <c r="N3570" s="671"/>
      <c r="O3570"/>
      <c r="P3570" s="412"/>
      <c r="Q3570" s="391"/>
      <c r="R3570" s="393"/>
    </row>
    <row r="3571" spans="1:21" ht="30" customHeight="1" x14ac:dyDescent="0.25">
      <c r="A3571" s="20"/>
      <c r="B3571" s="410"/>
      <c r="C3571" s="410"/>
      <c r="D3571" s="410"/>
      <c r="E3571" s="405"/>
      <c r="F3571" s="343"/>
      <c r="G3571" s="344" t="s">
        <v>535</v>
      </c>
      <c r="H3571" s="344"/>
      <c r="I3571" s="344"/>
      <c r="J3571" s="344"/>
      <c r="K3571" s="340">
        <v>1.02</v>
      </c>
      <c r="L3571" s="10"/>
      <c r="M3571" s="419"/>
      <c r="N3571" s="671"/>
      <c r="O3571"/>
      <c r="P3571" s="412"/>
      <c r="Q3571" s="391"/>
      <c r="R3571" s="393"/>
    </row>
    <row r="3572" spans="1:21" ht="30" customHeight="1" x14ac:dyDescent="0.25">
      <c r="A3572" s="20"/>
      <c r="B3572" s="20"/>
      <c r="C3572" s="18"/>
      <c r="D3572" s="18"/>
      <c r="E3572" s="18"/>
      <c r="F3572" s="18"/>
      <c r="G3572" s="18"/>
      <c r="H3572" s="18"/>
      <c r="I3572" s="18"/>
      <c r="J3572" s="20" t="s">
        <v>358</v>
      </c>
      <c r="K3572" s="23">
        <f>+K3569*K3570/K3571</f>
        <v>133.88511372549021</v>
      </c>
      <c r="L3572" s="20" t="s">
        <v>9</v>
      </c>
      <c r="M3572" s="419"/>
      <c r="N3572" s="420"/>
      <c r="O3572"/>
      <c r="P3572" s="412"/>
      <c r="Q3572" s="391"/>
      <c r="R3572" s="393"/>
    </row>
    <row r="3573" spans="1:21" ht="30" customHeight="1" thickBot="1" x14ac:dyDescent="0.3">
      <c r="A3573" s="20"/>
      <c r="B3573" s="20"/>
      <c r="C3573" s="18"/>
      <c r="D3573" s="18"/>
      <c r="E3573" s="18"/>
      <c r="F3573" s="18"/>
      <c r="G3573" s="413" t="s">
        <v>537</v>
      </c>
      <c r="H3573" s="18"/>
      <c r="I3573" s="18"/>
      <c r="J3573" s="361">
        <f>VLOOKUP(B3565,'Mil Cost Premiums for RUCs'!$A$4:$R$265,18,FALSE)</f>
        <v>1.2051322894313463</v>
      </c>
      <c r="K3573" s="23">
        <f>+K3572*J3573</f>
        <v>161.3492736247762</v>
      </c>
      <c r="L3573" s="20" t="s">
        <v>9</v>
      </c>
      <c r="M3573" s="419"/>
      <c r="N3573" s="420"/>
      <c r="O3573"/>
      <c r="P3573" s="412"/>
      <c r="Q3573" s="391"/>
      <c r="R3573" s="393"/>
    </row>
    <row r="3574" spans="1:21" ht="30" customHeight="1" thickBot="1" x14ac:dyDescent="0.3">
      <c r="A3574" s="76"/>
      <c r="B3574" s="77"/>
      <c r="C3574" s="77"/>
      <c r="D3574" s="77"/>
      <c r="E3574" s="77"/>
      <c r="F3574" s="77"/>
      <c r="G3574" s="77"/>
      <c r="H3574" s="77"/>
      <c r="I3574" s="77"/>
      <c r="J3574" s="77"/>
      <c r="K3574" s="77"/>
      <c r="L3574" s="78"/>
      <c r="M3574" s="419"/>
      <c r="N3574" s="420"/>
      <c r="O3574"/>
      <c r="P3574" s="412"/>
      <c r="Q3574" s="391"/>
      <c r="R3574" s="393"/>
    </row>
    <row r="3575" spans="1:21" ht="30" customHeight="1" x14ac:dyDescent="0.25">
      <c r="A3575" s="207" t="s">
        <v>288</v>
      </c>
      <c r="B3575" s="208">
        <v>7431</v>
      </c>
      <c r="C3575" s="209" t="s">
        <v>2301</v>
      </c>
      <c r="D3575" s="210"/>
      <c r="E3575" s="177" t="s">
        <v>291</v>
      </c>
      <c r="F3575" s="178" t="s">
        <v>9</v>
      </c>
      <c r="G3575" s="123" t="s">
        <v>375</v>
      </c>
      <c r="H3575" s="179">
        <v>8762</v>
      </c>
      <c r="I3575" s="177" t="s">
        <v>292</v>
      </c>
      <c r="J3575" s="38" t="s">
        <v>883</v>
      </c>
      <c r="K3575" s="38"/>
      <c r="L3575" s="389"/>
      <c r="M3575" s="419"/>
      <c r="N3575" s="420"/>
      <c r="O3575"/>
      <c r="P3575" s="412"/>
      <c r="Q3575" s="391"/>
      <c r="R3575" s="393"/>
    </row>
    <row r="3576" spans="1:21" ht="30" customHeight="1" x14ac:dyDescent="0.25">
      <c r="A3576" s="185" t="s">
        <v>529</v>
      </c>
      <c r="B3576" s="394" t="s">
        <v>560</v>
      </c>
      <c r="C3576" s="395"/>
      <c r="D3576" s="396"/>
      <c r="E3576" s="397" t="s">
        <v>519</v>
      </c>
      <c r="F3576" s="397" t="s">
        <v>561</v>
      </c>
      <c r="G3576" s="398" t="s">
        <v>562</v>
      </c>
      <c r="H3576" s="399"/>
      <c r="I3576" s="181" t="s">
        <v>530</v>
      </c>
      <c r="J3576" s="181"/>
      <c r="K3576" s="288" t="s">
        <v>521</v>
      </c>
      <c r="L3576" s="289"/>
      <c r="M3576" s="419"/>
      <c r="N3576" s="420"/>
      <c r="O3576"/>
      <c r="P3576" s="412"/>
      <c r="Q3576" s="391"/>
      <c r="R3576" s="393"/>
    </row>
    <row r="3577" spans="1:21" s="49" customFormat="1" ht="30" customHeight="1" x14ac:dyDescent="0.25">
      <c r="A3577" s="778" t="s">
        <v>2302</v>
      </c>
      <c r="B3577" s="503" t="s">
        <v>2303</v>
      </c>
      <c r="C3577" s="504"/>
      <c r="D3577" s="505"/>
      <c r="E3577" s="405">
        <v>104</v>
      </c>
      <c r="F3577" s="22" t="s">
        <v>9</v>
      </c>
      <c r="G3577" s="1428"/>
      <c r="H3577" s="1429"/>
      <c r="I3577" s="20">
        <v>1.04</v>
      </c>
      <c r="J3577" s="751"/>
      <c r="K3577" s="405">
        <f>+E3577*I3577</f>
        <v>108.16</v>
      </c>
      <c r="L3577" s="20" t="s">
        <v>9</v>
      </c>
      <c r="M3577" s="419"/>
      <c r="N3577" s="420"/>
      <c r="P3577" s="412"/>
      <c r="Q3577" s="391"/>
      <c r="R3577" s="393"/>
    </row>
    <row r="3578" spans="1:21" ht="30" customHeight="1" x14ac:dyDescent="0.25">
      <c r="A3578" s="20" t="s">
        <v>2283</v>
      </c>
      <c r="B3578" s="186" t="s">
        <v>2274</v>
      </c>
      <c r="C3578" s="186"/>
      <c r="D3578" s="186"/>
      <c r="E3578" s="405">
        <v>3.75</v>
      </c>
      <c r="F3578" s="20" t="s">
        <v>9</v>
      </c>
      <c r="G3578" s="522"/>
      <c r="H3578" s="20"/>
      <c r="I3578" s="20">
        <v>1.04</v>
      </c>
      <c r="J3578" s="751"/>
      <c r="K3578" s="405">
        <f>+E3578*I3578</f>
        <v>3.9000000000000004</v>
      </c>
      <c r="L3578" s="20" t="s">
        <v>9</v>
      </c>
      <c r="M3578" s="419"/>
      <c r="N3578" s="420"/>
      <c r="O3578"/>
      <c r="P3578" s="412"/>
      <c r="Q3578" s="391"/>
      <c r="R3578" s="393"/>
    </row>
    <row r="3579" spans="1:21" ht="30" customHeight="1" x14ac:dyDescent="0.25">
      <c r="A3579" s="1402"/>
      <c r="B3579" s="1395"/>
      <c r="C3579" s="1396"/>
      <c r="D3579" s="1397"/>
      <c r="E3579" s="1398"/>
      <c r="F3579" s="1402"/>
      <c r="G3579" s="1402"/>
      <c r="H3579" s="1402"/>
      <c r="I3579" s="1402"/>
      <c r="J3579" s="1402" t="s">
        <v>578</v>
      </c>
      <c r="K3579" s="1398">
        <f>SUM(K3577:K3578)</f>
        <v>112.06</v>
      </c>
      <c r="L3579" s="1402" t="s">
        <v>9</v>
      </c>
      <c r="M3579" s="419"/>
      <c r="N3579" s="420"/>
      <c r="O3579"/>
      <c r="P3579" s="412"/>
      <c r="Q3579" s="391"/>
      <c r="R3579" s="393"/>
    </row>
    <row r="3580" spans="1:21" ht="30" customHeight="1" x14ac:dyDescent="0.25">
      <c r="A3580" s="20"/>
      <c r="B3580" s="410"/>
      <c r="C3580" s="410"/>
      <c r="D3580" s="410"/>
      <c r="E3580" s="405"/>
      <c r="F3580" s="338" t="s">
        <v>533</v>
      </c>
      <c r="G3580" s="339" t="s">
        <v>534</v>
      </c>
      <c r="H3580" s="339"/>
      <c r="I3580" s="339"/>
      <c r="J3580" s="339"/>
      <c r="K3580" s="340">
        <v>1.07</v>
      </c>
      <c r="L3580" s="10"/>
      <c r="M3580" s="419"/>
      <c r="N3580" s="420"/>
      <c r="O3580"/>
      <c r="P3580" s="412"/>
      <c r="Q3580" s="391"/>
      <c r="R3580" s="393"/>
    </row>
    <row r="3581" spans="1:21" ht="30" customHeight="1" x14ac:dyDescent="0.25">
      <c r="A3581" s="20"/>
      <c r="B3581" s="410"/>
      <c r="C3581" s="410"/>
      <c r="D3581" s="410"/>
      <c r="E3581" s="405"/>
      <c r="F3581" s="343"/>
      <c r="G3581" s="344" t="s">
        <v>535</v>
      </c>
      <c r="H3581" s="344"/>
      <c r="I3581" s="344"/>
      <c r="J3581" s="344"/>
      <c r="K3581" s="340">
        <v>1.02</v>
      </c>
      <c r="L3581" s="10"/>
      <c r="M3581" s="419"/>
      <c r="N3581" s="420"/>
      <c r="O3581" s="43"/>
      <c r="P3581" s="672"/>
      <c r="Q3581" s="671"/>
      <c r="R3581" s="673"/>
    </row>
    <row r="3582" spans="1:21" ht="30" customHeight="1" x14ac:dyDescent="0.25">
      <c r="A3582" s="20"/>
      <c r="B3582" s="20"/>
      <c r="C3582" s="18"/>
      <c r="D3582" s="18"/>
      <c r="E3582" s="18"/>
      <c r="F3582" s="18"/>
      <c r="G3582" s="18"/>
      <c r="H3582" s="18"/>
      <c r="I3582" s="18"/>
      <c r="J3582" s="20" t="s">
        <v>358</v>
      </c>
      <c r="K3582" s="23">
        <f>+K3579*K3580/K3581</f>
        <v>117.55313725490196</v>
      </c>
      <c r="L3582" s="20" t="s">
        <v>9</v>
      </c>
      <c r="M3582" s="419"/>
      <c r="N3582" s="420"/>
      <c r="O3582" s="43"/>
      <c r="P3582" s="672"/>
      <c r="Q3582" s="671"/>
      <c r="R3582" s="673"/>
    </row>
    <row r="3583" spans="1:21" ht="30" customHeight="1" thickBot="1" x14ac:dyDescent="0.3">
      <c r="A3583" s="20"/>
      <c r="B3583" s="20"/>
      <c r="C3583" s="18"/>
      <c r="D3583" s="18"/>
      <c r="E3583" s="18"/>
      <c r="F3583" s="18"/>
      <c r="G3583" s="413" t="s">
        <v>537</v>
      </c>
      <c r="H3583" s="18"/>
      <c r="I3583" s="18"/>
      <c r="J3583" s="361">
        <f>VLOOKUP(B3575,'Mil Cost Premiums for RUCs'!$A$4:$R$265,18,FALSE)</f>
        <v>1.3148549708569053</v>
      </c>
      <c r="K3583" s="23">
        <f>+K3582*J3583</f>
        <v>154.56532685943191</v>
      </c>
      <c r="L3583" s="20" t="s">
        <v>9</v>
      </c>
      <c r="M3583" s="419"/>
      <c r="N3583" s="420"/>
      <c r="O3583"/>
      <c r="P3583" s="412"/>
      <c r="Q3583" s="391"/>
      <c r="R3583" s="393"/>
    </row>
    <row r="3584" spans="1:21" ht="30" customHeight="1" thickBot="1" x14ac:dyDescent="0.3">
      <c r="A3584" s="76"/>
      <c r="B3584" s="77"/>
      <c r="C3584" s="77"/>
      <c r="D3584" s="77"/>
      <c r="E3584" s="77"/>
      <c r="F3584" s="77"/>
      <c r="G3584" s="77"/>
      <c r="H3584" s="77"/>
      <c r="I3584" s="77"/>
      <c r="J3584" s="77"/>
      <c r="K3584" s="77"/>
      <c r="L3584" s="78"/>
      <c r="M3584" s="425"/>
      <c r="N3584" s="420"/>
      <c r="O3584" s="42"/>
      <c r="P3584" s="41"/>
      <c r="Q3584" s="41"/>
      <c r="R3584" s="41"/>
      <c r="S3584" s="41"/>
      <c r="T3584" s="41"/>
      <c r="U3584" s="43"/>
    </row>
    <row r="3585" spans="1:21" ht="30" customHeight="1" x14ac:dyDescent="0.25">
      <c r="A3585" s="207" t="s">
        <v>288</v>
      </c>
      <c r="B3585" s="208">
        <v>7440</v>
      </c>
      <c r="C3585" s="209" t="s">
        <v>2304</v>
      </c>
      <c r="D3585" s="210"/>
      <c r="E3585" s="177" t="s">
        <v>291</v>
      </c>
      <c r="F3585" s="178" t="s">
        <v>9</v>
      </c>
      <c r="G3585" s="123" t="s">
        <v>375</v>
      </c>
      <c r="H3585" s="179">
        <v>6383</v>
      </c>
      <c r="I3585" s="177" t="s">
        <v>292</v>
      </c>
      <c r="J3585" s="38" t="s">
        <v>883</v>
      </c>
      <c r="K3585" s="38"/>
      <c r="L3585" s="389"/>
      <c r="M3585" s="419"/>
      <c r="N3585" s="420"/>
      <c r="U3585" s="43"/>
    </row>
    <row r="3586" spans="1:21" s="41" customFormat="1" ht="30" customHeight="1" x14ac:dyDescent="0.25">
      <c r="A3586" s="185" t="s">
        <v>529</v>
      </c>
      <c r="B3586" s="394" t="s">
        <v>560</v>
      </c>
      <c r="C3586" s="395"/>
      <c r="D3586" s="396"/>
      <c r="E3586" s="397" t="s">
        <v>519</v>
      </c>
      <c r="F3586" s="397" t="s">
        <v>561</v>
      </c>
      <c r="G3586" s="398" t="s">
        <v>562</v>
      </c>
      <c r="H3586" s="399"/>
      <c r="I3586" s="181" t="s">
        <v>530</v>
      </c>
      <c r="J3586" s="181"/>
      <c r="K3586" s="288" t="s">
        <v>521</v>
      </c>
      <c r="L3586" s="289"/>
      <c r="M3586" s="419"/>
      <c r="N3586" s="420"/>
      <c r="O3586" s="27"/>
      <c r="P3586"/>
      <c r="Q3586"/>
      <c r="R3586"/>
      <c r="S3586"/>
      <c r="T3586"/>
    </row>
    <row r="3587" spans="1:21" s="49" customFormat="1" ht="30" customHeight="1" x14ac:dyDescent="0.25">
      <c r="A3587" s="778" t="s">
        <v>2289</v>
      </c>
      <c r="B3587" s="186" t="s">
        <v>2305</v>
      </c>
      <c r="C3587" s="186"/>
      <c r="D3587" s="186"/>
      <c r="E3587" s="405">
        <v>168</v>
      </c>
      <c r="F3587" s="20" t="s">
        <v>9</v>
      </c>
      <c r="G3587" s="20"/>
      <c r="H3587" s="20"/>
      <c r="I3587" s="20">
        <v>1.04</v>
      </c>
      <c r="J3587" s="20"/>
      <c r="K3587" s="405">
        <f>+E3587*I3587</f>
        <v>174.72</v>
      </c>
      <c r="L3587" s="20" t="s">
        <v>9</v>
      </c>
      <c r="M3587" s="419"/>
      <c r="N3587" s="420"/>
      <c r="O3587" s="27"/>
      <c r="P3587" s="50"/>
      <c r="Q3587" s="50"/>
      <c r="R3587" s="50"/>
      <c r="S3587" s="212"/>
      <c r="T3587" s="212"/>
    </row>
    <row r="3588" spans="1:21" ht="30" customHeight="1" x14ac:dyDescent="0.25">
      <c r="A3588" s="778" t="s">
        <v>2283</v>
      </c>
      <c r="B3588" s="186" t="s">
        <v>2208</v>
      </c>
      <c r="C3588" s="186"/>
      <c r="D3588" s="186"/>
      <c r="E3588" s="405">
        <v>3.75</v>
      </c>
      <c r="F3588" s="20" t="s">
        <v>9</v>
      </c>
      <c r="G3588" s="522"/>
      <c r="H3588" s="20"/>
      <c r="I3588" s="20">
        <v>1.04</v>
      </c>
      <c r="J3588" s="20"/>
      <c r="K3588" s="405">
        <f>+E3588*I3588</f>
        <v>3.9000000000000004</v>
      </c>
      <c r="L3588" s="20" t="s">
        <v>9</v>
      </c>
      <c r="M3588" s="670"/>
      <c r="N3588" s="420"/>
      <c r="P3588" s="43"/>
      <c r="Q3588" s="43"/>
      <c r="R3588" s="43"/>
      <c r="S3588" s="60"/>
      <c r="T3588" s="60"/>
    </row>
    <row r="3589" spans="1:21" ht="30" customHeight="1" x14ac:dyDescent="0.25">
      <c r="A3589" s="1402"/>
      <c r="B3589" s="1395"/>
      <c r="C3589" s="1396"/>
      <c r="D3589" s="1397"/>
      <c r="E3589" s="1398"/>
      <c r="F3589" s="1402"/>
      <c r="G3589" s="1402"/>
      <c r="H3589" s="1402"/>
      <c r="I3589" s="1402"/>
      <c r="J3589" s="1402" t="s">
        <v>578</v>
      </c>
      <c r="K3589" s="1398">
        <f>SUM(K3587:K3588)</f>
        <v>178.62</v>
      </c>
      <c r="L3589" s="1402" t="s">
        <v>9</v>
      </c>
      <c r="M3589" s="1433"/>
      <c r="N3589" s="420"/>
      <c r="O3589"/>
      <c r="P3589" s="412"/>
      <c r="Q3589" s="391"/>
      <c r="R3589" s="393"/>
    </row>
    <row r="3590" spans="1:21" ht="30" customHeight="1" x14ac:dyDescent="0.25">
      <c r="A3590" s="20"/>
      <c r="B3590" s="410"/>
      <c r="C3590" s="410"/>
      <c r="D3590" s="410"/>
      <c r="E3590" s="405"/>
      <c r="F3590" s="338" t="s">
        <v>533</v>
      </c>
      <c r="G3590" s="339" t="s">
        <v>534</v>
      </c>
      <c r="H3590" s="339"/>
      <c r="I3590" s="339"/>
      <c r="J3590" s="339"/>
      <c r="K3590" s="340">
        <v>1.07</v>
      </c>
      <c r="L3590" s="10"/>
      <c r="M3590" s="419"/>
      <c r="N3590" s="671"/>
      <c r="O3590"/>
      <c r="P3590" s="412"/>
      <c r="Q3590" s="391"/>
      <c r="R3590" s="393"/>
    </row>
    <row r="3591" spans="1:21" ht="30" customHeight="1" x14ac:dyDescent="0.25">
      <c r="A3591" s="20"/>
      <c r="B3591" s="410"/>
      <c r="C3591" s="410"/>
      <c r="D3591" s="410"/>
      <c r="E3591" s="405"/>
      <c r="F3591" s="343"/>
      <c r="G3591" s="344" t="s">
        <v>535</v>
      </c>
      <c r="H3591" s="344"/>
      <c r="I3591" s="344"/>
      <c r="J3591" s="344"/>
      <c r="K3591" s="340">
        <v>1.02</v>
      </c>
      <c r="L3591" s="10"/>
      <c r="M3591" s="419"/>
      <c r="N3591" s="1304"/>
      <c r="O3591"/>
      <c r="P3591" s="412"/>
      <c r="Q3591" s="391"/>
      <c r="R3591" s="393"/>
    </row>
    <row r="3592" spans="1:21" s="49" customFormat="1" ht="30" customHeight="1" x14ac:dyDescent="0.25">
      <c r="A3592" s="20"/>
      <c r="B3592" s="20"/>
      <c r="C3592" s="18"/>
      <c r="D3592" s="18"/>
      <c r="E3592" s="18"/>
      <c r="F3592" s="18"/>
      <c r="G3592" s="18"/>
      <c r="H3592" s="18"/>
      <c r="I3592" s="18"/>
      <c r="J3592" s="20" t="s">
        <v>358</v>
      </c>
      <c r="K3592" s="23">
        <f>+K3589*K3590/K3591</f>
        <v>187.37588235294118</v>
      </c>
      <c r="L3592" s="20" t="s">
        <v>9</v>
      </c>
      <c r="M3592" s="419"/>
      <c r="N3592" s="420"/>
      <c r="P3592" s="412"/>
      <c r="Q3592" s="391"/>
      <c r="R3592" s="393"/>
    </row>
    <row r="3593" spans="1:21" ht="30" customHeight="1" thickBot="1" x14ac:dyDescent="0.3">
      <c r="A3593" s="20"/>
      <c r="B3593" s="20"/>
      <c r="C3593" s="18"/>
      <c r="D3593" s="18"/>
      <c r="E3593" s="18"/>
      <c r="F3593" s="18"/>
      <c r="G3593" s="413" t="s">
        <v>537</v>
      </c>
      <c r="H3593" s="18"/>
      <c r="I3593" s="18"/>
      <c r="J3593" s="361">
        <f>VLOOKUP(B3585,'Mil Cost Premiums for RUCs'!$A$4:$R$265,18,FALSE)</f>
        <v>1.3148549708569053</v>
      </c>
      <c r="K3593" s="23">
        <f>+K3592*J3593</f>
        <v>246.37211033046339</v>
      </c>
      <c r="L3593" s="20" t="s">
        <v>9</v>
      </c>
      <c r="N3593" s="420"/>
      <c r="O3593"/>
      <c r="P3593" s="412"/>
      <c r="Q3593" s="391"/>
      <c r="R3593" s="393"/>
    </row>
    <row r="3594" spans="1:21" ht="30" customHeight="1" thickBot="1" x14ac:dyDescent="0.3">
      <c r="A3594" s="76"/>
      <c r="B3594" s="77"/>
      <c r="C3594" s="77"/>
      <c r="D3594" s="77"/>
      <c r="E3594" s="77"/>
      <c r="F3594" s="77"/>
      <c r="G3594" s="77"/>
      <c r="H3594" s="77"/>
      <c r="I3594" s="1868"/>
      <c r="J3594" s="1868"/>
      <c r="K3594" s="1868"/>
      <c r="L3594" s="1869"/>
      <c r="M3594" s="502"/>
      <c r="N3594" s="420"/>
      <c r="O3594"/>
      <c r="P3594" s="412"/>
      <c r="Q3594" s="391"/>
      <c r="R3594" s="393"/>
    </row>
    <row r="3595" spans="1:21" ht="30" customHeight="1" x14ac:dyDescent="0.25">
      <c r="A3595" s="207" t="s">
        <v>288</v>
      </c>
      <c r="B3595" s="208">
        <v>7441</v>
      </c>
      <c r="C3595" s="282" t="s">
        <v>2306</v>
      </c>
      <c r="D3595" s="283"/>
      <c r="E3595" s="177" t="s">
        <v>291</v>
      </c>
      <c r="F3595" s="178" t="s">
        <v>9</v>
      </c>
      <c r="G3595" s="123" t="s">
        <v>375</v>
      </c>
      <c r="H3595" s="179">
        <v>10978</v>
      </c>
      <c r="I3595" s="290" t="s">
        <v>292</v>
      </c>
      <c r="J3595" s="1870" t="s">
        <v>2307</v>
      </c>
      <c r="K3595" s="1857"/>
      <c r="L3595" s="1857"/>
      <c r="M3595" s="1866"/>
      <c r="N3595" s="342"/>
      <c r="O3595"/>
      <c r="P3595" s="412"/>
      <c r="Q3595" s="391"/>
      <c r="R3595" s="393"/>
    </row>
    <row r="3596" spans="1:21" ht="30" customHeight="1" x14ac:dyDescent="0.25">
      <c r="A3596" s="181" t="s">
        <v>517</v>
      </c>
      <c r="B3596" s="180" t="s">
        <v>295</v>
      </c>
      <c r="C3596" s="180"/>
      <c r="D3596" s="180"/>
      <c r="E3596" s="285" t="s">
        <v>519</v>
      </c>
      <c r="F3596" s="181" t="s">
        <v>518</v>
      </c>
      <c r="G3596" s="665" t="s">
        <v>562</v>
      </c>
      <c r="H3596" s="666"/>
      <c r="I3596" s="1437" t="s">
        <v>520</v>
      </c>
      <c r="J3596" s="1437"/>
      <c r="K3596" s="1871" t="s">
        <v>521</v>
      </c>
      <c r="L3596" s="1871"/>
      <c r="M3596" s="1867"/>
      <c r="N3596" s="502"/>
      <c r="O3596" s="43"/>
      <c r="P3596" s="672"/>
      <c r="Q3596" s="671"/>
      <c r="R3596" s="673"/>
    </row>
    <row r="3597" spans="1:21" ht="30" customHeight="1" x14ac:dyDescent="0.25">
      <c r="A3597" s="20">
        <v>72412</v>
      </c>
      <c r="B3597" s="503" t="s">
        <v>2308</v>
      </c>
      <c r="C3597" s="504"/>
      <c r="D3597" s="505"/>
      <c r="E3597" s="405">
        <v>305</v>
      </c>
      <c r="F3597" s="729">
        <v>28000</v>
      </c>
      <c r="G3597" s="1126"/>
      <c r="H3597" s="680"/>
      <c r="I3597" s="1872">
        <f>+'MILCON Inflation Table'!$F$15</f>
        <v>0.9813542688910698</v>
      </c>
      <c r="J3597" s="1872"/>
      <c r="K3597" s="304">
        <f>+E3597*I3597</f>
        <v>299.31305201177628</v>
      </c>
      <c r="L3597" s="290" t="s">
        <v>9</v>
      </c>
      <c r="M3597" s="43"/>
      <c r="O3597" s="43"/>
      <c r="P3597" s="672"/>
      <c r="Q3597" s="671"/>
      <c r="R3597" s="673"/>
    </row>
    <row r="3598" spans="1:21" ht="30" customHeight="1" x14ac:dyDescent="0.25">
      <c r="A3598" s="20">
        <v>72412</v>
      </c>
      <c r="B3598" s="503" t="s">
        <v>2309</v>
      </c>
      <c r="C3598" s="504"/>
      <c r="D3598" s="505"/>
      <c r="E3598" s="405">
        <v>305</v>
      </c>
      <c r="F3598" s="729">
        <v>28000</v>
      </c>
      <c r="G3598" s="1126"/>
      <c r="H3598" s="680"/>
      <c r="I3598" s="1109">
        <f>+'MILCON Inflation Table'!$F$15</f>
        <v>0.9813542688910698</v>
      </c>
      <c r="J3598" s="1110"/>
      <c r="K3598" s="304">
        <f>+E3598*I3598</f>
        <v>299.31305201177628</v>
      </c>
      <c r="L3598" s="290" t="s">
        <v>9</v>
      </c>
      <c r="M3598" s="419"/>
      <c r="O3598"/>
      <c r="P3598" s="412"/>
      <c r="Q3598" s="391"/>
      <c r="R3598" s="393"/>
    </row>
    <row r="3599" spans="1:21" ht="30" customHeight="1" x14ac:dyDescent="0.25">
      <c r="A3599" s="20"/>
      <c r="B3599" s="523"/>
      <c r="C3599" s="524"/>
      <c r="D3599" s="407"/>
      <c r="E3599" s="682"/>
      <c r="F3599" s="1124"/>
      <c r="G3599" s="1125"/>
      <c r="H3599" s="1126"/>
      <c r="I3599" s="1127"/>
      <c r="J3599" s="1128" t="s">
        <v>536</v>
      </c>
      <c r="K3599" s="304">
        <f>AVERAGE(K3597:K3598)</f>
        <v>299.31305201177628</v>
      </c>
      <c r="L3599" s="290" t="s">
        <v>9</v>
      </c>
      <c r="M3599" s="425"/>
      <c r="O3599"/>
      <c r="P3599" s="412"/>
      <c r="Q3599" s="391"/>
      <c r="R3599" s="393"/>
    </row>
    <row r="3600" spans="1:21" ht="30" customHeight="1" thickBot="1" x14ac:dyDescent="0.3">
      <c r="A3600" s="20"/>
      <c r="B3600" s="503"/>
      <c r="C3600" s="504"/>
      <c r="D3600" s="505"/>
      <c r="E3600" s="465"/>
      <c r="F3600" s="763"/>
      <c r="G3600" s="465"/>
      <c r="H3600" s="764"/>
      <c r="I3600" s="18"/>
      <c r="J3600" s="20" t="s">
        <v>358</v>
      </c>
      <c r="K3600" s="305">
        <f>+K3599</f>
        <v>299.31305201177628</v>
      </c>
      <c r="L3600" s="290" t="s">
        <v>9</v>
      </c>
      <c r="M3600" s="419"/>
      <c r="N3600" s="420"/>
      <c r="O3600"/>
      <c r="P3600" s="412"/>
      <c r="Q3600" s="391"/>
      <c r="R3600" s="393"/>
    </row>
    <row r="3601" spans="1:18" ht="30" customHeight="1" thickBot="1" x14ac:dyDescent="0.3">
      <c r="A3601" s="76"/>
      <c r="B3601" s="77"/>
      <c r="C3601" s="77"/>
      <c r="D3601" s="77"/>
      <c r="E3601" s="77"/>
      <c r="F3601" s="77"/>
      <c r="G3601" s="77"/>
      <c r="H3601" s="77"/>
      <c r="I3601" s="77"/>
      <c r="J3601" s="77"/>
      <c r="K3601" s="77"/>
      <c r="L3601" s="78"/>
      <c r="M3601" s="419"/>
      <c r="N3601" s="420"/>
      <c r="O3601"/>
      <c r="P3601" s="412"/>
      <c r="Q3601" s="391"/>
      <c r="R3601" s="393"/>
    </row>
    <row r="3602" spans="1:18" s="49" customFormat="1" ht="30" customHeight="1" x14ac:dyDescent="0.25">
      <c r="A3602" s="30" t="s">
        <v>288</v>
      </c>
      <c r="B3602" s="31">
        <v>7442</v>
      </c>
      <c r="C3602" s="161" t="s">
        <v>2310</v>
      </c>
      <c r="D3602" s="162"/>
      <c r="E3602" s="177" t="s">
        <v>291</v>
      </c>
      <c r="F3602" s="178" t="s">
        <v>9</v>
      </c>
      <c r="G3602" s="123" t="s">
        <v>375</v>
      </c>
      <c r="H3602" s="179">
        <v>2029</v>
      </c>
      <c r="I3602" s="177" t="s">
        <v>292</v>
      </c>
      <c r="J3602" s="38" t="s">
        <v>883</v>
      </c>
      <c r="K3602" s="38"/>
      <c r="L3602" s="389"/>
      <c r="M3602" s="419"/>
      <c r="N3602" s="420"/>
      <c r="P3602" s="412"/>
      <c r="Q3602" s="391"/>
      <c r="R3602" s="393"/>
    </row>
    <row r="3603" spans="1:18" ht="30" customHeight="1" x14ac:dyDescent="0.25">
      <c r="A3603" s="48" t="s">
        <v>529</v>
      </c>
      <c r="B3603" s="490" t="s">
        <v>560</v>
      </c>
      <c r="C3603" s="491"/>
      <c r="D3603" s="492"/>
      <c r="E3603" s="397" t="s">
        <v>519</v>
      </c>
      <c r="F3603" s="397" t="s">
        <v>561</v>
      </c>
      <c r="G3603" s="398" t="s">
        <v>562</v>
      </c>
      <c r="H3603" s="399"/>
      <c r="I3603" s="181" t="s">
        <v>530</v>
      </c>
      <c r="J3603" s="181"/>
      <c r="K3603" s="288" t="s">
        <v>521</v>
      </c>
      <c r="L3603" s="289"/>
      <c r="M3603" s="670"/>
      <c r="N3603" s="420"/>
      <c r="O3603"/>
      <c r="P3603" s="412"/>
      <c r="Q3603" s="391"/>
      <c r="R3603" s="393"/>
    </row>
    <row r="3604" spans="1:18" ht="30" customHeight="1" x14ac:dyDescent="0.25">
      <c r="A3604" s="1334" t="s">
        <v>2311</v>
      </c>
      <c r="B3604" s="62" t="s">
        <v>2312</v>
      </c>
      <c r="C3604" s="62"/>
      <c r="D3604" s="62"/>
      <c r="E3604" s="405">
        <v>87.52</v>
      </c>
      <c r="F3604" s="20" t="s">
        <v>9</v>
      </c>
      <c r="G3604" s="20"/>
      <c r="H3604" s="20"/>
      <c r="I3604" s="20">
        <v>1.05</v>
      </c>
      <c r="J3604" s="20"/>
      <c r="K3604" s="405">
        <f>+E3604*I3604</f>
        <v>91.896000000000001</v>
      </c>
      <c r="L3604" s="20" t="s">
        <v>9</v>
      </c>
      <c r="M3604" s="1434"/>
      <c r="N3604" s="420"/>
      <c r="O3604"/>
      <c r="P3604" s="412"/>
      <c r="Q3604" s="391"/>
      <c r="R3604" s="393"/>
    </row>
    <row r="3605" spans="1:18" ht="30" customHeight="1" x14ac:dyDescent="0.25">
      <c r="A3605" s="1334" t="s">
        <v>2072</v>
      </c>
      <c r="B3605" s="62" t="s">
        <v>2042</v>
      </c>
      <c r="C3605" s="62"/>
      <c r="D3605" s="62"/>
      <c r="E3605" s="405">
        <v>3.57</v>
      </c>
      <c r="F3605" s="20" t="s">
        <v>9</v>
      </c>
      <c r="G3605" s="522"/>
      <c r="H3605" s="20"/>
      <c r="I3605" s="20">
        <v>1.05</v>
      </c>
      <c r="J3605" s="20"/>
      <c r="K3605" s="405">
        <f>+E3605*I3605</f>
        <v>3.7484999999999999</v>
      </c>
      <c r="L3605" s="20" t="s">
        <v>9</v>
      </c>
      <c r="M3605" s="419"/>
      <c r="N3605" s="671"/>
      <c r="O3605"/>
      <c r="P3605" s="412"/>
      <c r="Q3605" s="391"/>
      <c r="R3605" s="393"/>
    </row>
    <row r="3606" spans="1:18" ht="30" customHeight="1" x14ac:dyDescent="0.25">
      <c r="A3606" s="1402"/>
      <c r="B3606" s="1395"/>
      <c r="C3606" s="1396"/>
      <c r="D3606" s="1397"/>
      <c r="E3606" s="1398"/>
      <c r="F3606" s="1402"/>
      <c r="G3606" s="1402"/>
      <c r="H3606" s="1402"/>
      <c r="I3606" s="1402"/>
      <c r="J3606" s="1402" t="s">
        <v>578</v>
      </c>
      <c r="K3606" s="1398">
        <f>SUM(K3604:K3605)</f>
        <v>95.644499999999994</v>
      </c>
      <c r="L3606" s="1402" t="s">
        <v>9</v>
      </c>
      <c r="M3606" s="1431"/>
      <c r="N3606" s="671"/>
      <c r="O3606" s="43"/>
      <c r="P3606" s="672"/>
      <c r="Q3606" s="671"/>
      <c r="R3606" s="673"/>
    </row>
    <row r="3607" spans="1:18" ht="30" customHeight="1" x14ac:dyDescent="0.25">
      <c r="A3607" s="61"/>
      <c r="B3607" s="498"/>
      <c r="C3607" s="498"/>
      <c r="D3607" s="498"/>
      <c r="E3607" s="405"/>
      <c r="F3607" s="338" t="s">
        <v>533</v>
      </c>
      <c r="G3607" s="339" t="s">
        <v>534</v>
      </c>
      <c r="H3607" s="339"/>
      <c r="I3607" s="339"/>
      <c r="J3607" s="339"/>
      <c r="K3607" s="340">
        <v>1.07</v>
      </c>
      <c r="L3607" s="10"/>
      <c r="M3607" s="419"/>
      <c r="N3607" s="420"/>
      <c r="O3607" s="43"/>
      <c r="P3607" s="672"/>
      <c r="Q3607" s="671"/>
      <c r="R3607" s="673"/>
    </row>
    <row r="3608" spans="1:18" ht="30" customHeight="1" x14ac:dyDescent="0.25">
      <c r="A3608" s="61"/>
      <c r="B3608" s="498"/>
      <c r="C3608" s="498"/>
      <c r="D3608" s="498"/>
      <c r="E3608" s="405"/>
      <c r="F3608" s="343"/>
      <c r="G3608" s="344" t="s">
        <v>535</v>
      </c>
      <c r="H3608" s="344"/>
      <c r="I3608" s="344"/>
      <c r="J3608" s="344"/>
      <c r="K3608" s="340">
        <v>1.02</v>
      </c>
      <c r="L3608" s="10"/>
      <c r="M3608" s="419"/>
      <c r="N3608" s="420"/>
      <c r="O3608"/>
      <c r="P3608" s="412"/>
      <c r="Q3608" s="391"/>
      <c r="R3608" s="393"/>
    </row>
    <row r="3609" spans="1:18" ht="30" customHeight="1" x14ac:dyDescent="0.25">
      <c r="A3609" s="61"/>
      <c r="B3609" s="61"/>
      <c r="C3609" s="63"/>
      <c r="D3609" s="63"/>
      <c r="E3609" s="18"/>
      <c r="F3609" s="18"/>
      <c r="G3609" s="18"/>
      <c r="H3609" s="18"/>
      <c r="I3609" s="18"/>
      <c r="J3609" s="20" t="s">
        <v>358</v>
      </c>
      <c r="K3609" s="23">
        <f>+K3606*K3607/K3608</f>
        <v>100.33295588235293</v>
      </c>
      <c r="L3609" s="20" t="s">
        <v>9</v>
      </c>
      <c r="M3609" s="425"/>
      <c r="N3609" s="420"/>
      <c r="O3609"/>
      <c r="P3609" s="412"/>
      <c r="Q3609" s="391"/>
      <c r="R3609" s="393"/>
    </row>
    <row r="3610" spans="1:18" ht="30" customHeight="1" thickBot="1" x14ac:dyDescent="0.3">
      <c r="A3610" s="61"/>
      <c r="B3610" s="61"/>
      <c r="C3610" s="63"/>
      <c r="D3610" s="63"/>
      <c r="E3610" s="18"/>
      <c r="F3610" s="18"/>
      <c r="G3610" s="413" t="s">
        <v>537</v>
      </c>
      <c r="H3610" s="18"/>
      <c r="I3610" s="18"/>
      <c r="J3610" s="361">
        <f>VLOOKUP(B3602,'Mil Cost Premiums for RUCs'!$A$4:$R$265,18,FALSE)</f>
        <v>1.12897214704308</v>
      </c>
      <c r="K3610" s="23">
        <f>+K3609*J3610</f>
        <v>113.27311262167862</v>
      </c>
      <c r="L3610" s="20" t="s">
        <v>9</v>
      </c>
      <c r="M3610" s="419"/>
      <c r="N3610" s="420"/>
      <c r="O3610"/>
      <c r="P3610" s="412"/>
      <c r="Q3610" s="391"/>
      <c r="R3610" s="393"/>
    </row>
    <row r="3611" spans="1:18" ht="30" customHeight="1" thickBot="1" x14ac:dyDescent="0.3">
      <c r="A3611" s="76"/>
      <c r="B3611" s="77"/>
      <c r="C3611" s="77"/>
      <c r="D3611" s="77"/>
      <c r="E3611" s="77"/>
      <c r="F3611" s="77"/>
      <c r="G3611" s="77"/>
      <c r="H3611" s="77"/>
      <c r="I3611" s="77"/>
      <c r="J3611" s="77"/>
      <c r="K3611" s="77"/>
      <c r="L3611" s="78"/>
      <c r="M3611" s="419"/>
      <c r="N3611" s="420"/>
      <c r="O3611"/>
      <c r="P3611" s="412"/>
      <c r="Q3611" s="391"/>
      <c r="R3611" s="393"/>
    </row>
    <row r="3612" spans="1:18" s="49" customFormat="1" ht="30" customHeight="1" x14ac:dyDescent="0.25">
      <c r="A3612" s="30" t="s">
        <v>288</v>
      </c>
      <c r="B3612" s="208">
        <v>7443</v>
      </c>
      <c r="C3612" s="282" t="s">
        <v>2313</v>
      </c>
      <c r="D3612" s="283"/>
      <c r="E3612" s="177" t="s">
        <v>291</v>
      </c>
      <c r="F3612" s="178" t="s">
        <v>9</v>
      </c>
      <c r="G3612" s="123" t="s">
        <v>375</v>
      </c>
      <c r="H3612" s="179">
        <v>1743</v>
      </c>
      <c r="I3612" s="177" t="s">
        <v>292</v>
      </c>
      <c r="J3612" s="38" t="s">
        <v>883</v>
      </c>
      <c r="K3612" s="38"/>
      <c r="L3612" s="389"/>
      <c r="M3612" s="419"/>
      <c r="N3612" s="420"/>
      <c r="P3612" s="412"/>
      <c r="Q3612" s="391"/>
      <c r="R3612" s="393"/>
    </row>
    <row r="3613" spans="1:18" ht="30" customHeight="1" x14ac:dyDescent="0.25">
      <c r="A3613" s="48" t="s">
        <v>529</v>
      </c>
      <c r="B3613" s="394" t="s">
        <v>560</v>
      </c>
      <c r="C3613" s="395"/>
      <c r="D3613" s="396"/>
      <c r="E3613" s="397" t="s">
        <v>519</v>
      </c>
      <c r="F3613" s="397" t="s">
        <v>561</v>
      </c>
      <c r="G3613" s="398" t="s">
        <v>562</v>
      </c>
      <c r="H3613" s="399"/>
      <c r="I3613" s="181" t="s">
        <v>530</v>
      </c>
      <c r="J3613" s="181"/>
      <c r="K3613" s="288" t="s">
        <v>521</v>
      </c>
      <c r="L3613" s="289"/>
      <c r="M3613" s="670"/>
      <c r="N3613" s="420"/>
      <c r="O3613"/>
      <c r="P3613" s="412"/>
      <c r="Q3613" s="391"/>
      <c r="R3613" s="393"/>
    </row>
    <row r="3614" spans="1:18" ht="30" customHeight="1" x14ac:dyDescent="0.25">
      <c r="A3614" s="1334" t="s">
        <v>2001</v>
      </c>
      <c r="B3614" s="503" t="s">
        <v>2002</v>
      </c>
      <c r="C3614" s="504"/>
      <c r="D3614" s="505"/>
      <c r="E3614" s="405">
        <v>25.75</v>
      </c>
      <c r="F3614" s="22" t="s">
        <v>9</v>
      </c>
      <c r="G3614" s="1428"/>
      <c r="H3614" s="1429"/>
      <c r="I3614" s="20">
        <v>1.06</v>
      </c>
      <c r="J3614" s="20"/>
      <c r="K3614" s="405">
        <f>+E3614*I3614</f>
        <v>27.295000000000002</v>
      </c>
      <c r="L3614" s="20" t="s">
        <v>9</v>
      </c>
      <c r="M3614" s="670"/>
      <c r="N3614" s="420"/>
      <c r="O3614"/>
      <c r="P3614" s="412"/>
      <c r="Q3614" s="391"/>
      <c r="R3614" s="393"/>
    </row>
    <row r="3615" spans="1:18" ht="30" customHeight="1" x14ac:dyDescent="0.25">
      <c r="A3615" s="61"/>
      <c r="B3615" s="410"/>
      <c r="C3615" s="410"/>
      <c r="D3615" s="410"/>
      <c r="E3615" s="405"/>
      <c r="F3615" s="338" t="s">
        <v>533</v>
      </c>
      <c r="G3615" s="339" t="s">
        <v>534</v>
      </c>
      <c r="H3615" s="339"/>
      <c r="I3615" s="339"/>
      <c r="J3615" s="339"/>
      <c r="K3615" s="340">
        <v>1.07</v>
      </c>
      <c r="L3615" s="10"/>
      <c r="M3615" s="419"/>
      <c r="N3615" s="671"/>
      <c r="O3615"/>
      <c r="P3615" s="412"/>
      <c r="Q3615" s="391"/>
      <c r="R3615" s="393"/>
    </row>
    <row r="3616" spans="1:18" ht="30" customHeight="1" x14ac:dyDescent="0.25">
      <c r="A3616" s="61"/>
      <c r="B3616" s="410"/>
      <c r="C3616" s="410"/>
      <c r="D3616" s="410"/>
      <c r="E3616" s="405"/>
      <c r="F3616" s="343"/>
      <c r="G3616" s="344" t="s">
        <v>535</v>
      </c>
      <c r="H3616" s="344"/>
      <c r="I3616" s="344"/>
      <c r="J3616" s="344"/>
      <c r="K3616" s="340">
        <v>1.02</v>
      </c>
      <c r="L3616" s="10"/>
      <c r="M3616" s="419"/>
      <c r="N3616" s="671"/>
      <c r="O3616" s="43"/>
      <c r="P3616" s="672"/>
      <c r="Q3616" s="671"/>
      <c r="R3616" s="673"/>
    </row>
    <row r="3617" spans="1:21" ht="30" customHeight="1" x14ac:dyDescent="0.25">
      <c r="A3617" s="1334"/>
      <c r="B3617" s="503"/>
      <c r="C3617" s="504"/>
      <c r="D3617" s="505"/>
      <c r="E3617" s="405"/>
      <c r="F3617" s="1112"/>
      <c r="G3617" s="794"/>
      <c r="H3617" s="649"/>
      <c r="I3617" s="20"/>
      <c r="J3617" s="20" t="s">
        <v>358</v>
      </c>
      <c r="K3617" s="23">
        <f>+K3614*K3615/K3616</f>
        <v>28.632990196078431</v>
      </c>
      <c r="L3617" s="20" t="s">
        <v>9</v>
      </c>
      <c r="M3617" s="419"/>
      <c r="N3617" s="420"/>
      <c r="O3617" s="43"/>
      <c r="P3617" s="672"/>
      <c r="Q3617" s="671"/>
      <c r="R3617" s="673"/>
    </row>
    <row r="3618" spans="1:21" ht="30" customHeight="1" thickBot="1" x14ac:dyDescent="0.3">
      <c r="A3618" s="61"/>
      <c r="B3618" s="20"/>
      <c r="C3618" s="18"/>
      <c r="D3618" s="18"/>
      <c r="E3618" s="18"/>
      <c r="F3618" s="18"/>
      <c r="G3618" s="413" t="s">
        <v>537</v>
      </c>
      <c r="H3618" s="18"/>
      <c r="I3618" s="18"/>
      <c r="J3618" s="361">
        <f>VLOOKUP(B3612,'Mil Cost Premiums for RUCs'!$A$4:$R$265,18,FALSE)</f>
        <v>1.0590296311349996</v>
      </c>
      <c r="K3618" s="23">
        <f>+K3617*J3618</f>
        <v>30.323185045645001</v>
      </c>
      <c r="L3618" s="20" t="s">
        <v>9</v>
      </c>
      <c r="M3618" s="419"/>
      <c r="N3618" s="420"/>
      <c r="O3618"/>
      <c r="P3618" s="412"/>
      <c r="Q3618" s="391"/>
      <c r="R3618" s="393"/>
    </row>
    <row r="3619" spans="1:21" ht="30" customHeight="1" thickBot="1" x14ac:dyDescent="0.3">
      <c r="A3619" s="76"/>
      <c r="B3619" s="77"/>
      <c r="C3619" s="77"/>
      <c r="D3619" s="77"/>
      <c r="E3619" s="77"/>
      <c r="F3619" s="77"/>
      <c r="G3619" s="77"/>
      <c r="H3619" s="77"/>
      <c r="I3619" s="77"/>
      <c r="J3619" s="77"/>
      <c r="K3619" s="77"/>
      <c r="L3619" s="78"/>
      <c r="M3619" s="425"/>
      <c r="N3619" s="420"/>
      <c r="O3619" s="42"/>
      <c r="P3619" s="41"/>
      <c r="Q3619" s="41"/>
      <c r="R3619" s="41"/>
      <c r="S3619" s="41"/>
      <c r="T3619" s="41"/>
      <c r="U3619" s="43"/>
    </row>
    <row r="3620" spans="1:21" ht="30" customHeight="1" x14ac:dyDescent="0.25">
      <c r="A3620" s="30" t="s">
        <v>288</v>
      </c>
      <c r="B3620" s="208">
        <v>7444</v>
      </c>
      <c r="C3620" s="209" t="s">
        <v>2314</v>
      </c>
      <c r="D3620" s="210"/>
      <c r="E3620" s="177" t="s">
        <v>291</v>
      </c>
      <c r="F3620" s="178" t="s">
        <v>9</v>
      </c>
      <c r="G3620" s="123" t="s">
        <v>375</v>
      </c>
      <c r="H3620" s="179">
        <v>1507</v>
      </c>
      <c r="I3620" s="177" t="s">
        <v>292</v>
      </c>
      <c r="J3620" s="38" t="s">
        <v>883</v>
      </c>
      <c r="K3620" s="38"/>
      <c r="L3620" s="389"/>
      <c r="M3620" s="419"/>
      <c r="N3620" s="420"/>
      <c r="U3620" s="43"/>
    </row>
    <row r="3621" spans="1:21" s="41" customFormat="1" ht="30" customHeight="1" x14ac:dyDescent="0.25">
      <c r="A3621" s="48" t="s">
        <v>529</v>
      </c>
      <c r="B3621" s="394" t="s">
        <v>560</v>
      </c>
      <c r="C3621" s="395"/>
      <c r="D3621" s="396"/>
      <c r="E3621" s="397" t="s">
        <v>519</v>
      </c>
      <c r="F3621" s="397" t="s">
        <v>561</v>
      </c>
      <c r="G3621" s="398" t="s">
        <v>562</v>
      </c>
      <c r="H3621" s="399"/>
      <c r="I3621" s="181" t="s">
        <v>530</v>
      </c>
      <c r="J3621" s="181"/>
      <c r="K3621" s="288" t="s">
        <v>521</v>
      </c>
      <c r="L3621" s="289"/>
      <c r="M3621" s="419"/>
      <c r="N3621" s="420"/>
      <c r="O3621" s="27"/>
      <c r="P3621"/>
      <c r="Q3621"/>
      <c r="R3621"/>
      <c r="S3621"/>
      <c r="T3621"/>
    </row>
    <row r="3622" spans="1:21" s="49" customFormat="1" ht="30" customHeight="1" x14ac:dyDescent="0.25">
      <c r="A3622" s="1334" t="s">
        <v>2315</v>
      </c>
      <c r="B3622" s="186" t="s">
        <v>2316</v>
      </c>
      <c r="C3622" s="186"/>
      <c r="D3622" s="186"/>
      <c r="E3622" s="405">
        <v>34</v>
      </c>
      <c r="F3622" s="20" t="s">
        <v>9</v>
      </c>
      <c r="G3622" s="20"/>
      <c r="H3622" s="20"/>
      <c r="I3622" s="20">
        <v>1.06</v>
      </c>
      <c r="J3622" s="20"/>
      <c r="K3622" s="405">
        <f>+E3622*I3622</f>
        <v>36.04</v>
      </c>
      <c r="L3622" s="20" t="s">
        <v>9</v>
      </c>
      <c r="M3622" s="419"/>
      <c r="N3622" s="420"/>
      <c r="O3622" s="27"/>
    </row>
    <row r="3623" spans="1:21" s="41" customFormat="1" ht="30" customHeight="1" x14ac:dyDescent="0.25">
      <c r="A3623" s="61"/>
      <c r="B3623" s="410"/>
      <c r="C3623" s="410"/>
      <c r="D3623" s="410"/>
      <c r="E3623" s="405"/>
      <c r="F3623" s="338" t="s">
        <v>533</v>
      </c>
      <c r="G3623" s="339" t="s">
        <v>534</v>
      </c>
      <c r="H3623" s="339"/>
      <c r="I3623" s="339"/>
      <c r="J3623" s="339"/>
      <c r="K3623" s="340">
        <v>1.07</v>
      </c>
      <c r="L3623" s="10"/>
      <c r="M3623" s="670"/>
      <c r="N3623" s="420"/>
      <c r="O3623" s="27"/>
      <c r="P3623"/>
      <c r="Q3623"/>
      <c r="R3623"/>
      <c r="S3623"/>
      <c r="T3623"/>
    </row>
    <row r="3624" spans="1:21" ht="30" customHeight="1" x14ac:dyDescent="0.25">
      <c r="A3624" s="61"/>
      <c r="B3624" s="410"/>
      <c r="C3624" s="410"/>
      <c r="D3624" s="410"/>
      <c r="E3624" s="405"/>
      <c r="F3624" s="343"/>
      <c r="G3624" s="344" t="s">
        <v>535</v>
      </c>
      <c r="H3624" s="344"/>
      <c r="I3624" s="344"/>
      <c r="J3624" s="344"/>
      <c r="K3624" s="340">
        <v>1.02</v>
      </c>
      <c r="L3624" s="10"/>
      <c r="M3624" s="670"/>
      <c r="N3624" s="420"/>
      <c r="P3624" s="43"/>
      <c r="Q3624" s="43"/>
      <c r="R3624" s="43"/>
      <c r="S3624" s="60"/>
      <c r="T3624" s="60"/>
    </row>
    <row r="3625" spans="1:21" ht="30" customHeight="1" x14ac:dyDescent="0.25">
      <c r="A3625" s="61"/>
      <c r="B3625" s="20"/>
      <c r="C3625" s="18"/>
      <c r="D3625" s="18"/>
      <c r="E3625" s="18"/>
      <c r="F3625" s="18"/>
      <c r="G3625" s="18"/>
      <c r="H3625" s="18"/>
      <c r="I3625" s="18"/>
      <c r="J3625" s="20" t="s">
        <v>358</v>
      </c>
      <c r="K3625" s="23">
        <f>+K3622*K3623/K3624</f>
        <v>37.806666666666672</v>
      </c>
      <c r="L3625" s="20" t="s">
        <v>9</v>
      </c>
      <c r="M3625" s="419"/>
      <c r="N3625" s="671"/>
      <c r="P3625" s="43"/>
      <c r="Q3625" s="43"/>
      <c r="R3625" s="43"/>
      <c r="S3625" s="60"/>
      <c r="T3625" s="60"/>
    </row>
    <row r="3626" spans="1:21" ht="30" customHeight="1" thickBot="1" x14ac:dyDescent="0.3">
      <c r="A3626" s="61"/>
      <c r="B3626" s="20"/>
      <c r="C3626" s="18"/>
      <c r="D3626" s="18"/>
      <c r="E3626" s="18"/>
      <c r="F3626" s="18"/>
      <c r="G3626" s="413" t="s">
        <v>537</v>
      </c>
      <c r="H3626" s="18"/>
      <c r="I3626" s="18"/>
      <c r="J3626" s="361">
        <f>VLOOKUP(B3620,'Mil Cost Premiums for RUCs'!$A$4:$R$265,18,FALSE)</f>
        <v>1.0209999999999999</v>
      </c>
      <c r="K3626" s="23">
        <f>+K3625*J3626</f>
        <v>38.600606666666671</v>
      </c>
      <c r="L3626" s="20" t="s">
        <v>9</v>
      </c>
      <c r="M3626" s="419"/>
      <c r="N3626" s="671"/>
      <c r="O3626"/>
      <c r="P3626" s="412"/>
      <c r="Q3626" s="391"/>
      <c r="R3626" s="393"/>
    </row>
    <row r="3627" spans="1:21" ht="30" customHeight="1" thickBot="1" x14ac:dyDescent="0.3">
      <c r="A3627" s="76"/>
      <c r="B3627" s="77"/>
      <c r="C3627" s="77"/>
      <c r="D3627" s="77"/>
      <c r="E3627" s="77"/>
      <c r="F3627" s="77"/>
      <c r="G3627" s="77"/>
      <c r="H3627" s="77"/>
      <c r="I3627" s="77"/>
      <c r="J3627" s="77"/>
      <c r="K3627" s="77"/>
      <c r="L3627" s="78"/>
      <c r="M3627" s="419"/>
      <c r="N3627" s="420"/>
      <c r="O3627"/>
      <c r="P3627" s="412"/>
      <c r="Q3627" s="391"/>
      <c r="R3627" s="393"/>
    </row>
    <row r="3628" spans="1:21" ht="30" customHeight="1" x14ac:dyDescent="0.25">
      <c r="A3628" s="207" t="s">
        <v>288</v>
      </c>
      <c r="B3628" s="208">
        <v>7445</v>
      </c>
      <c r="C3628" s="209" t="s">
        <v>2317</v>
      </c>
      <c r="D3628" s="210"/>
      <c r="E3628" s="177" t="s">
        <v>291</v>
      </c>
      <c r="F3628" s="178" t="s">
        <v>9</v>
      </c>
      <c r="G3628" s="123" t="s">
        <v>375</v>
      </c>
      <c r="H3628" s="1425">
        <v>2868</v>
      </c>
      <c r="I3628" s="177" t="s">
        <v>292</v>
      </c>
      <c r="J3628" s="38" t="s">
        <v>883</v>
      </c>
      <c r="K3628" s="38"/>
      <c r="L3628" s="389"/>
      <c r="N3628" s="420"/>
      <c r="O3628"/>
      <c r="P3628" s="412"/>
      <c r="Q3628" s="391"/>
      <c r="R3628" s="393"/>
    </row>
    <row r="3629" spans="1:21" s="49" customFormat="1" ht="30" customHeight="1" x14ac:dyDescent="0.25">
      <c r="A3629" s="185" t="s">
        <v>529</v>
      </c>
      <c r="B3629" s="394" t="s">
        <v>560</v>
      </c>
      <c r="C3629" s="395"/>
      <c r="D3629" s="396"/>
      <c r="E3629" s="397" t="s">
        <v>519</v>
      </c>
      <c r="F3629" s="397" t="s">
        <v>561</v>
      </c>
      <c r="G3629" s="398" t="s">
        <v>562</v>
      </c>
      <c r="H3629" s="399"/>
      <c r="I3629" s="181" t="s">
        <v>530</v>
      </c>
      <c r="J3629" s="181"/>
      <c r="K3629" s="288" t="s">
        <v>521</v>
      </c>
      <c r="L3629" s="289"/>
      <c r="M3629" s="502"/>
      <c r="N3629" s="420"/>
      <c r="P3629" s="412"/>
      <c r="Q3629" s="391"/>
      <c r="R3629" s="393"/>
    </row>
    <row r="3630" spans="1:21" ht="30" customHeight="1" x14ac:dyDescent="0.25">
      <c r="A3630" s="778" t="s">
        <v>845</v>
      </c>
      <c r="B3630" s="503" t="s">
        <v>2318</v>
      </c>
      <c r="C3630" s="504"/>
      <c r="D3630" s="505"/>
      <c r="E3630" s="405">
        <v>29.75</v>
      </c>
      <c r="F3630" s="22" t="s">
        <v>9</v>
      </c>
      <c r="G3630" s="1428"/>
      <c r="H3630" s="1429"/>
      <c r="I3630" s="20">
        <v>1.06</v>
      </c>
      <c r="J3630" s="20"/>
      <c r="K3630" s="405">
        <f>+E3630*I3630</f>
        <v>31.535</v>
      </c>
      <c r="L3630" s="20" t="s">
        <v>9</v>
      </c>
      <c r="M3630" s="341"/>
      <c r="N3630" s="342"/>
      <c r="O3630"/>
      <c r="P3630" s="412"/>
      <c r="Q3630" s="391"/>
      <c r="R3630" s="393"/>
    </row>
    <row r="3631" spans="1:21" ht="30" customHeight="1" x14ac:dyDescent="0.25">
      <c r="A3631" s="20"/>
      <c r="B3631" s="410"/>
      <c r="C3631" s="410"/>
      <c r="D3631" s="410"/>
      <c r="E3631" s="405"/>
      <c r="F3631" s="338" t="s">
        <v>533</v>
      </c>
      <c r="G3631" s="339" t="s">
        <v>534</v>
      </c>
      <c r="H3631" s="339"/>
      <c r="I3631" s="339"/>
      <c r="J3631" s="339"/>
      <c r="K3631" s="340">
        <v>1.07</v>
      </c>
      <c r="L3631" s="10"/>
      <c r="M3631" s="341"/>
      <c r="N3631" s="502"/>
      <c r="O3631"/>
      <c r="P3631" s="412"/>
      <c r="Q3631" s="391"/>
      <c r="R3631" s="393"/>
    </row>
    <row r="3632" spans="1:21" ht="30" customHeight="1" x14ac:dyDescent="0.25">
      <c r="A3632" s="20"/>
      <c r="B3632" s="410"/>
      <c r="C3632" s="410"/>
      <c r="D3632" s="410"/>
      <c r="E3632" s="405"/>
      <c r="F3632" s="343"/>
      <c r="G3632" s="344" t="s">
        <v>535</v>
      </c>
      <c r="H3632" s="344"/>
      <c r="I3632" s="344"/>
      <c r="J3632" s="344"/>
      <c r="K3632" s="340">
        <v>1.02</v>
      </c>
      <c r="L3632" s="10"/>
      <c r="M3632" s="341"/>
      <c r="O3632"/>
      <c r="P3632" s="412"/>
      <c r="Q3632" s="391"/>
      <c r="R3632" s="393"/>
    </row>
    <row r="3633" spans="1:18" ht="30" customHeight="1" x14ac:dyDescent="0.25">
      <c r="A3633" s="20"/>
      <c r="B3633" s="20"/>
      <c r="C3633" s="18"/>
      <c r="D3633" s="18"/>
      <c r="E3633" s="18"/>
      <c r="F3633" s="18"/>
      <c r="G3633" s="18"/>
      <c r="H3633" s="18"/>
      <c r="I3633" s="18"/>
      <c r="J3633" s="20" t="s">
        <v>358</v>
      </c>
      <c r="K3633" s="23">
        <f>+K3630*K3631/K3632</f>
        <v>33.080833333333338</v>
      </c>
      <c r="L3633" s="20" t="s">
        <v>9</v>
      </c>
      <c r="O3633" s="43"/>
      <c r="P3633" s="672"/>
      <c r="Q3633" s="671"/>
      <c r="R3633" s="673"/>
    </row>
    <row r="3634" spans="1:18" ht="30" customHeight="1" thickBot="1" x14ac:dyDescent="0.3">
      <c r="A3634" s="20"/>
      <c r="B3634" s="20"/>
      <c r="C3634" s="18"/>
      <c r="D3634" s="18"/>
      <c r="E3634" s="18"/>
      <c r="F3634" s="18"/>
      <c r="G3634" s="413" t="s">
        <v>537</v>
      </c>
      <c r="H3634" s="18"/>
      <c r="I3634" s="18"/>
      <c r="J3634" s="361">
        <f>VLOOKUP(B3628,'Mil Cost Premiums for RUCs'!$A$4:$R$265,18,FALSE)</f>
        <v>1.0209999999999999</v>
      </c>
      <c r="K3634" s="23">
        <f>+K3633*J3634</f>
        <v>33.775530833333335</v>
      </c>
      <c r="L3634" s="20" t="s">
        <v>9</v>
      </c>
      <c r="M3634" s="43"/>
      <c r="O3634" s="43"/>
      <c r="P3634" s="672"/>
      <c r="Q3634" s="671"/>
      <c r="R3634" s="673"/>
    </row>
    <row r="3635" spans="1:18" ht="30" customHeight="1" thickBot="1" x14ac:dyDescent="0.3">
      <c r="A3635" s="76"/>
      <c r="B3635" s="77"/>
      <c r="C3635" s="77"/>
      <c r="D3635" s="77"/>
      <c r="E3635" s="77"/>
      <c r="F3635" s="77"/>
      <c r="G3635" s="77"/>
      <c r="H3635" s="77"/>
      <c r="I3635" s="77"/>
      <c r="J3635" s="77"/>
      <c r="K3635" s="77"/>
      <c r="L3635" s="78"/>
      <c r="M3635" s="419"/>
      <c r="O3635"/>
      <c r="P3635" s="412"/>
      <c r="Q3635" s="391"/>
      <c r="R3635" s="393"/>
    </row>
    <row r="3636" spans="1:18" ht="30" customHeight="1" x14ac:dyDescent="0.25">
      <c r="A3636" s="30" t="s">
        <v>288</v>
      </c>
      <c r="B3636" s="208">
        <v>7446</v>
      </c>
      <c r="C3636" s="209" t="s">
        <v>2319</v>
      </c>
      <c r="D3636" s="210"/>
      <c r="E3636" s="177" t="s">
        <v>291</v>
      </c>
      <c r="F3636" s="178" t="s">
        <v>9</v>
      </c>
      <c r="G3636" s="123" t="s">
        <v>375</v>
      </c>
      <c r="H3636" s="1435">
        <v>8138</v>
      </c>
      <c r="I3636" s="177" t="s">
        <v>292</v>
      </c>
      <c r="J3636" s="38" t="s">
        <v>883</v>
      </c>
      <c r="K3636" s="38"/>
      <c r="L3636" s="389"/>
      <c r="M3636" s="425"/>
      <c r="O3636"/>
      <c r="P3636" s="412"/>
      <c r="Q3636" s="391"/>
      <c r="R3636" s="393"/>
    </row>
    <row r="3637" spans="1:18" ht="30" customHeight="1" x14ac:dyDescent="0.25">
      <c r="A3637" s="48" t="s">
        <v>529</v>
      </c>
      <c r="B3637" s="394" t="s">
        <v>560</v>
      </c>
      <c r="C3637" s="395"/>
      <c r="D3637" s="396"/>
      <c r="E3637" s="397" t="s">
        <v>519</v>
      </c>
      <c r="F3637" s="397" t="s">
        <v>561</v>
      </c>
      <c r="G3637" s="398" t="s">
        <v>562</v>
      </c>
      <c r="H3637" s="399"/>
      <c r="I3637" s="181" t="s">
        <v>530</v>
      </c>
      <c r="J3637" s="181"/>
      <c r="K3637" s="288" t="s">
        <v>521</v>
      </c>
      <c r="L3637" s="289"/>
      <c r="M3637" s="419"/>
      <c r="N3637" s="420"/>
      <c r="O3637"/>
      <c r="P3637" s="412"/>
      <c r="Q3637" s="391"/>
      <c r="R3637" s="393"/>
    </row>
    <row r="3638" spans="1:18" ht="30" customHeight="1" x14ac:dyDescent="0.25">
      <c r="A3638" s="1334" t="s">
        <v>2241</v>
      </c>
      <c r="B3638" s="503" t="s">
        <v>2242</v>
      </c>
      <c r="C3638" s="504"/>
      <c r="D3638" s="505"/>
      <c r="E3638" s="405">
        <v>117.9</v>
      </c>
      <c r="F3638" s="22" t="s">
        <v>9</v>
      </c>
      <c r="G3638" s="18"/>
      <c r="H3638" s="18"/>
      <c r="I3638" s="20">
        <v>1.06</v>
      </c>
      <c r="J3638" s="20"/>
      <c r="K3638" s="405">
        <f>+E3638*I3638</f>
        <v>124.97400000000002</v>
      </c>
      <c r="L3638" s="20" t="s">
        <v>9</v>
      </c>
      <c r="M3638" s="419"/>
      <c r="N3638" s="420"/>
      <c r="O3638"/>
      <c r="P3638" s="412"/>
      <c r="Q3638" s="391"/>
      <c r="R3638" s="393"/>
    </row>
    <row r="3639" spans="1:18" s="49" customFormat="1" ht="30" customHeight="1" x14ac:dyDescent="0.25">
      <c r="A3639" s="1334" t="s">
        <v>691</v>
      </c>
      <c r="B3639" s="186" t="s">
        <v>2320</v>
      </c>
      <c r="C3639" s="186"/>
      <c r="D3639" s="186"/>
      <c r="E3639" s="405">
        <v>3.71</v>
      </c>
      <c r="F3639" s="22" t="s">
        <v>9</v>
      </c>
      <c r="G3639" s="18"/>
      <c r="H3639" s="18"/>
      <c r="I3639" s="20">
        <v>1.06</v>
      </c>
      <c r="J3639" s="20"/>
      <c r="K3639" s="405">
        <f>+E3639*I3639</f>
        <v>3.9326000000000003</v>
      </c>
      <c r="L3639" s="20" t="s">
        <v>9</v>
      </c>
      <c r="M3639" s="419"/>
      <c r="N3639" s="420"/>
      <c r="P3639" s="412"/>
      <c r="Q3639" s="391"/>
      <c r="R3639" s="393"/>
    </row>
    <row r="3640" spans="1:18" ht="30" customHeight="1" x14ac:dyDescent="0.25">
      <c r="A3640" s="1402"/>
      <c r="B3640" s="1395"/>
      <c r="C3640" s="1396"/>
      <c r="D3640" s="1397"/>
      <c r="E3640" s="1398"/>
      <c r="F3640" s="1402"/>
      <c r="G3640" s="1402"/>
      <c r="H3640" s="1402"/>
      <c r="I3640" s="1402"/>
      <c r="J3640" s="1402" t="s">
        <v>578</v>
      </c>
      <c r="K3640" s="1398">
        <f>SUM(K3638:K3639)</f>
        <v>128.90660000000003</v>
      </c>
      <c r="L3640" s="1402" t="s">
        <v>9</v>
      </c>
      <c r="M3640" s="670"/>
      <c r="N3640" s="420"/>
      <c r="O3640"/>
      <c r="P3640" s="412"/>
      <c r="Q3640" s="391"/>
      <c r="R3640" s="393"/>
    </row>
    <row r="3641" spans="1:18" ht="30" customHeight="1" x14ac:dyDescent="0.25">
      <c r="A3641" s="61"/>
      <c r="B3641" s="410"/>
      <c r="C3641" s="410"/>
      <c r="D3641" s="410"/>
      <c r="E3641" s="405"/>
      <c r="F3641" s="338" t="s">
        <v>533</v>
      </c>
      <c r="G3641" s="339" t="s">
        <v>534</v>
      </c>
      <c r="H3641" s="339"/>
      <c r="I3641" s="339"/>
      <c r="J3641" s="339"/>
      <c r="K3641" s="340">
        <v>1.07</v>
      </c>
      <c r="L3641" s="10"/>
      <c r="M3641" s="1436"/>
      <c r="N3641" s="420"/>
      <c r="O3641" s="43"/>
      <c r="P3641" s="672"/>
      <c r="Q3641" s="671"/>
      <c r="R3641" s="673"/>
    </row>
    <row r="3642" spans="1:18" ht="30" customHeight="1" x14ac:dyDescent="0.25">
      <c r="A3642" s="61"/>
      <c r="B3642" s="410"/>
      <c r="C3642" s="410"/>
      <c r="D3642" s="410"/>
      <c r="E3642" s="405"/>
      <c r="F3642" s="343"/>
      <c r="G3642" s="344" t="s">
        <v>535</v>
      </c>
      <c r="H3642" s="344"/>
      <c r="I3642" s="344"/>
      <c r="J3642" s="344"/>
      <c r="K3642" s="340">
        <v>1.02</v>
      </c>
      <c r="L3642" s="10"/>
      <c r="M3642" s="419"/>
      <c r="N3642" s="671"/>
      <c r="O3642" s="43"/>
      <c r="P3642" s="672"/>
      <c r="Q3642" s="671"/>
      <c r="R3642" s="673"/>
    </row>
    <row r="3643" spans="1:18" ht="30" customHeight="1" x14ac:dyDescent="0.25">
      <c r="A3643" s="61"/>
      <c r="B3643" s="20"/>
      <c r="C3643" s="18"/>
      <c r="D3643" s="18"/>
      <c r="E3643" s="18"/>
      <c r="F3643" s="18"/>
      <c r="G3643" s="18"/>
      <c r="H3643" s="18"/>
      <c r="I3643" s="18"/>
      <c r="J3643" s="20" t="s">
        <v>358</v>
      </c>
      <c r="K3643" s="23">
        <f>+K3640*K3641/K3642</f>
        <v>135.2255509803922</v>
      </c>
      <c r="L3643" s="20" t="s">
        <v>9</v>
      </c>
      <c r="M3643" s="419"/>
      <c r="N3643" s="671"/>
      <c r="O3643"/>
      <c r="P3643" s="412"/>
      <c r="Q3643" s="391"/>
      <c r="R3643" s="393"/>
    </row>
    <row r="3644" spans="1:18" ht="30" customHeight="1" thickBot="1" x14ac:dyDescent="0.3">
      <c r="A3644" s="61"/>
      <c r="B3644" s="20"/>
      <c r="C3644" s="18"/>
      <c r="D3644" s="18"/>
      <c r="E3644" s="18"/>
      <c r="F3644" s="18"/>
      <c r="G3644" s="413" t="s">
        <v>537</v>
      </c>
      <c r="H3644" s="18"/>
      <c r="I3644" s="18"/>
      <c r="J3644" s="361">
        <f>VLOOKUP(B3636,'Mil Cost Premiums for RUCs'!$A$4:$R$265,18,FALSE)</f>
        <v>1.0209999999999999</v>
      </c>
      <c r="K3644" s="23">
        <f>+K3643*J3644</f>
        <v>138.06528755098043</v>
      </c>
      <c r="L3644" s="20" t="s">
        <v>9</v>
      </c>
      <c r="M3644" s="419"/>
      <c r="N3644" s="420"/>
      <c r="O3644"/>
      <c r="P3644" s="392"/>
      <c r="Q3644" s="391"/>
      <c r="R3644" s="393"/>
    </row>
    <row r="3645" spans="1:18" ht="30" customHeight="1" thickBot="1" x14ac:dyDescent="0.3">
      <c r="A3645" s="76"/>
      <c r="B3645" s="77"/>
      <c r="C3645" s="77"/>
      <c r="D3645" s="77"/>
      <c r="E3645" s="77"/>
      <c r="F3645" s="77"/>
      <c r="G3645" s="77"/>
      <c r="H3645" s="77"/>
      <c r="I3645" s="77"/>
      <c r="J3645" s="77"/>
      <c r="K3645" s="77"/>
      <c r="L3645" s="78"/>
      <c r="M3645" s="419"/>
      <c r="N3645" s="420"/>
      <c r="O3645"/>
      <c r="P3645" s="392"/>
      <c r="Q3645" s="391"/>
      <c r="R3645" s="393"/>
    </row>
    <row r="3646" spans="1:18" ht="30" customHeight="1" x14ac:dyDescent="0.25">
      <c r="A3646" s="207" t="s">
        <v>288</v>
      </c>
      <c r="B3646" s="208">
        <v>7447</v>
      </c>
      <c r="C3646" s="282" t="s">
        <v>2321</v>
      </c>
      <c r="D3646" s="283"/>
      <c r="E3646" s="177" t="s">
        <v>291</v>
      </c>
      <c r="F3646" s="178" t="s">
        <v>9</v>
      </c>
      <c r="G3646" s="123" t="s">
        <v>375</v>
      </c>
      <c r="H3646" s="302">
        <v>3540</v>
      </c>
      <c r="I3646" s="177" t="s">
        <v>292</v>
      </c>
      <c r="J3646" s="38" t="s">
        <v>623</v>
      </c>
      <c r="K3646" s="39"/>
      <c r="L3646" s="40"/>
      <c r="M3646" s="425"/>
      <c r="N3646" s="420"/>
      <c r="O3646"/>
      <c r="P3646" s="392"/>
      <c r="Q3646" s="391"/>
      <c r="R3646" s="393"/>
    </row>
    <row r="3647" spans="1:18" s="49" customFormat="1" ht="30" customHeight="1" x14ac:dyDescent="0.25">
      <c r="A3647" s="181" t="s">
        <v>517</v>
      </c>
      <c r="B3647" s="180" t="s">
        <v>295</v>
      </c>
      <c r="C3647" s="180"/>
      <c r="D3647" s="180"/>
      <c r="E3647" s="181" t="s">
        <v>519</v>
      </c>
      <c r="F3647" s="181" t="s">
        <v>518</v>
      </c>
      <c r="G3647" s="1437" t="s">
        <v>562</v>
      </c>
      <c r="H3647" s="1437"/>
      <c r="I3647" s="286" t="s">
        <v>520</v>
      </c>
      <c r="J3647" s="287"/>
      <c r="K3647" s="493" t="s">
        <v>521</v>
      </c>
      <c r="L3647" s="494"/>
      <c r="M3647" s="419"/>
      <c r="N3647" s="420"/>
      <c r="P3647" s="392"/>
      <c r="Q3647" s="391"/>
      <c r="R3647" s="393"/>
    </row>
    <row r="3648" spans="1:18" ht="30" customHeight="1" x14ac:dyDescent="0.25">
      <c r="A3648" s="20">
        <v>44220</v>
      </c>
      <c r="B3648" s="503" t="s">
        <v>2322</v>
      </c>
      <c r="C3648" s="504"/>
      <c r="D3648" s="505"/>
      <c r="E3648" s="405">
        <v>133</v>
      </c>
      <c r="F3648" s="729">
        <v>3470</v>
      </c>
      <c r="G3648" s="680"/>
      <c r="H3648" s="680"/>
      <c r="I3648" s="1109">
        <f>+'MILCON Inflation Table'!F17</f>
        <v>0.9432470865927236</v>
      </c>
      <c r="J3648" s="1110"/>
      <c r="K3648" s="304">
        <f>+E3648*I3648</f>
        <v>125.45186251683224</v>
      </c>
      <c r="L3648" s="290" t="s">
        <v>9</v>
      </c>
      <c r="M3648" s="670"/>
      <c r="N3648" s="420"/>
      <c r="O3648"/>
      <c r="P3648" s="392"/>
      <c r="Q3648" s="391"/>
      <c r="R3648" s="393"/>
    </row>
    <row r="3649" spans="1:18" ht="30" customHeight="1" x14ac:dyDescent="0.25">
      <c r="A3649" s="20">
        <v>44220</v>
      </c>
      <c r="B3649" s="402" t="s">
        <v>2323</v>
      </c>
      <c r="C3649" s="403"/>
      <c r="D3649" s="404"/>
      <c r="E3649" s="405">
        <v>140</v>
      </c>
      <c r="F3649" s="729">
        <v>3600</v>
      </c>
      <c r="G3649" s="680"/>
      <c r="H3649" s="680"/>
      <c r="I3649" s="1109">
        <f>+'MILCON Inflation Table'!F18</f>
        <v>0.92475204567914071</v>
      </c>
      <c r="J3649" s="1110"/>
      <c r="K3649" s="304">
        <f>+E3649*I3649</f>
        <v>129.46528639507969</v>
      </c>
      <c r="L3649" s="290" t="s">
        <v>9</v>
      </c>
      <c r="M3649" s="670"/>
      <c r="N3649" s="420"/>
      <c r="O3649" s="43"/>
      <c r="P3649" s="672"/>
      <c r="Q3649" s="671"/>
      <c r="R3649" s="673"/>
    </row>
    <row r="3650" spans="1:18" ht="30" customHeight="1" thickBot="1" x14ac:dyDescent="0.3">
      <c r="A3650" s="20"/>
      <c r="B3650" s="503"/>
      <c r="C3650" s="504"/>
      <c r="D3650" s="505"/>
      <c r="E3650" s="466"/>
      <c r="F3650" s="1438"/>
      <c r="G3650" s="466"/>
      <c r="H3650" s="466" t="s">
        <v>536</v>
      </c>
      <c r="I3650" s="18"/>
      <c r="J3650" s="185" t="s">
        <v>358</v>
      </c>
      <c r="K3650" s="305">
        <f>AVERAGE(K3648:K3649)</f>
        <v>127.45857445595595</v>
      </c>
      <c r="L3650" s="290" t="s">
        <v>9</v>
      </c>
      <c r="M3650" s="419"/>
      <c r="N3650" s="671"/>
      <c r="O3650" s="43"/>
      <c r="P3650" s="672"/>
      <c r="Q3650" s="671"/>
      <c r="R3650" s="673"/>
    </row>
    <row r="3651" spans="1:18" ht="30" customHeight="1" thickBot="1" x14ac:dyDescent="0.3">
      <c r="A3651" s="76"/>
      <c r="B3651" s="77"/>
      <c r="C3651" s="77"/>
      <c r="D3651" s="77"/>
      <c r="E3651" s="77"/>
      <c r="F3651" s="77"/>
      <c r="G3651" s="77"/>
      <c r="H3651" s="77"/>
      <c r="I3651" s="77"/>
      <c r="J3651" s="77"/>
      <c r="K3651" s="77"/>
      <c r="L3651" s="78"/>
      <c r="M3651" s="419"/>
      <c r="N3651" s="671"/>
      <c r="O3651"/>
      <c r="P3651" s="392"/>
      <c r="Q3651" s="391"/>
      <c r="R3651" s="393"/>
    </row>
    <row r="3652" spans="1:18" ht="30" customHeight="1" x14ac:dyDescent="0.25">
      <c r="A3652" s="1379" t="s">
        <v>288</v>
      </c>
      <c r="B3652" s="1380">
        <v>7448</v>
      </c>
      <c r="C3652" s="1439" t="s">
        <v>2324</v>
      </c>
      <c r="D3652" s="1440"/>
      <c r="E3652" s="1383" t="s">
        <v>291</v>
      </c>
      <c r="F3652" s="1418" t="s">
        <v>9</v>
      </c>
      <c r="G3652" s="123" t="s">
        <v>375</v>
      </c>
      <c r="H3652" s="1385">
        <v>1264</v>
      </c>
      <c r="I3652" s="1383" t="s">
        <v>292</v>
      </c>
      <c r="J3652" s="38" t="s">
        <v>883</v>
      </c>
      <c r="K3652" s="38"/>
      <c r="L3652" s="389"/>
      <c r="M3652" s="419"/>
      <c r="N3652" s="420"/>
      <c r="O3652"/>
      <c r="P3652" s="412"/>
      <c r="Q3652" s="391"/>
      <c r="R3652" s="393"/>
    </row>
    <row r="3653" spans="1:18" ht="30" customHeight="1" x14ac:dyDescent="0.25">
      <c r="A3653" s="1386" t="s">
        <v>529</v>
      </c>
      <c r="B3653" s="1387" t="s">
        <v>560</v>
      </c>
      <c r="C3653" s="1388"/>
      <c r="D3653" s="1389"/>
      <c r="E3653" s="1390" t="s">
        <v>519</v>
      </c>
      <c r="F3653" s="1390" t="s">
        <v>561</v>
      </c>
      <c r="G3653" s="1391" t="s">
        <v>562</v>
      </c>
      <c r="H3653" s="1392"/>
      <c r="I3653" s="1393" t="s">
        <v>2205</v>
      </c>
      <c r="J3653" s="1393"/>
      <c r="K3653" s="493" t="s">
        <v>521</v>
      </c>
      <c r="L3653" s="494"/>
      <c r="M3653" s="419"/>
      <c r="N3653" s="420"/>
      <c r="O3653"/>
      <c r="P3653" s="412"/>
      <c r="Q3653" s="391"/>
      <c r="R3653" s="393"/>
    </row>
    <row r="3654" spans="1:18" ht="30" customHeight="1" x14ac:dyDescent="0.25">
      <c r="A3654" s="1402" t="s">
        <v>2111</v>
      </c>
      <c r="B3654" s="1405" t="s">
        <v>2325</v>
      </c>
      <c r="C3654" s="1406"/>
      <c r="D3654" s="1407"/>
      <c r="E3654" s="1441">
        <v>61.5</v>
      </c>
      <c r="F3654" s="1399" t="s">
        <v>9</v>
      </c>
      <c r="G3654" s="1442"/>
      <c r="H3654" s="1401"/>
      <c r="I3654" s="1402">
        <v>1.05</v>
      </c>
      <c r="J3654" s="1399"/>
      <c r="K3654" s="1409">
        <f>+E3654*I3654</f>
        <v>64.575000000000003</v>
      </c>
      <c r="L3654" s="1399" t="s">
        <v>9</v>
      </c>
      <c r="M3654" s="425"/>
      <c r="N3654" s="420"/>
      <c r="O3654"/>
      <c r="P3654" s="412"/>
      <c r="Q3654" s="391"/>
      <c r="R3654" s="393"/>
    </row>
    <row r="3655" spans="1:18" s="49" customFormat="1" ht="30" customHeight="1" x14ac:dyDescent="0.25">
      <c r="A3655" s="1394" t="s">
        <v>644</v>
      </c>
      <c r="B3655" s="1395" t="s">
        <v>3389</v>
      </c>
      <c r="C3655" s="1396"/>
      <c r="D3655" s="1397"/>
      <c r="E3655" s="1398">
        <v>3.8</v>
      </c>
      <c r="F3655" s="1399" t="s">
        <v>9</v>
      </c>
      <c r="G3655" s="1443">
        <v>1.1499999999999999</v>
      </c>
      <c r="H3655" s="1444" t="s">
        <v>2326</v>
      </c>
      <c r="I3655" s="1402">
        <v>1.05</v>
      </c>
      <c r="J3655" s="1399"/>
      <c r="K3655" s="1409">
        <f>+E3655*G3655*I3655</f>
        <v>4.5884999999999998</v>
      </c>
      <c r="L3655" s="1402"/>
      <c r="M3655" s="1330"/>
      <c r="N3655" s="420"/>
      <c r="P3655" s="412"/>
      <c r="Q3655" s="391"/>
      <c r="R3655" s="393"/>
    </row>
    <row r="3656" spans="1:18" ht="30" customHeight="1" x14ac:dyDescent="0.25">
      <c r="A3656" s="1445"/>
      <c r="B3656" s="1408"/>
      <c r="C3656" s="1408"/>
      <c r="D3656" s="1408"/>
      <c r="E3656" s="1398"/>
      <c r="F3656" s="1402"/>
      <c r="G3656" s="1402"/>
      <c r="H3656" s="1402"/>
      <c r="I3656" s="1402"/>
      <c r="J3656" s="1402" t="s">
        <v>578</v>
      </c>
      <c r="K3656" s="1398">
        <f>SUM(K3654:K3655)</f>
        <v>69.163499999999999</v>
      </c>
      <c r="L3656" s="1402" t="s">
        <v>9</v>
      </c>
      <c r="M3656" s="1330"/>
      <c r="N3656" s="420"/>
      <c r="O3656"/>
      <c r="P3656" s="412"/>
      <c r="Q3656" s="391"/>
      <c r="R3656" s="393"/>
    </row>
    <row r="3657" spans="1:18" ht="30" customHeight="1" x14ac:dyDescent="0.25">
      <c r="A3657" s="61"/>
      <c r="B3657" s="410"/>
      <c r="C3657" s="410"/>
      <c r="D3657" s="410"/>
      <c r="E3657" s="405"/>
      <c r="F3657" s="338" t="s">
        <v>533</v>
      </c>
      <c r="G3657" s="339" t="s">
        <v>534</v>
      </c>
      <c r="H3657" s="339"/>
      <c r="I3657" s="339"/>
      <c r="J3657" s="339"/>
      <c r="K3657" s="340">
        <v>1.05</v>
      </c>
      <c r="L3657" s="10"/>
      <c r="M3657" s="670"/>
      <c r="N3657" s="420"/>
      <c r="O3657" s="43"/>
      <c r="P3657" s="672"/>
      <c r="Q3657" s="671"/>
      <c r="R3657" s="673"/>
    </row>
    <row r="3658" spans="1:18" ht="30" customHeight="1" x14ac:dyDescent="0.25">
      <c r="A3658" s="61"/>
      <c r="B3658" s="410"/>
      <c r="C3658" s="410"/>
      <c r="D3658" s="410"/>
      <c r="E3658" s="405"/>
      <c r="F3658" s="343"/>
      <c r="G3658" s="344" t="s">
        <v>535</v>
      </c>
      <c r="H3658" s="344"/>
      <c r="I3658" s="344"/>
      <c r="J3658" s="344"/>
      <c r="K3658" s="340">
        <v>1.02</v>
      </c>
      <c r="L3658" s="10"/>
      <c r="M3658" s="419"/>
      <c r="N3658" s="671"/>
      <c r="O3658" s="43"/>
      <c r="P3658" s="672"/>
      <c r="Q3658" s="671"/>
      <c r="R3658" s="673"/>
    </row>
    <row r="3659" spans="1:18" ht="30" customHeight="1" x14ac:dyDescent="0.25">
      <c r="A3659" s="1402"/>
      <c r="B3659" s="1402"/>
      <c r="C3659" s="1408"/>
      <c r="D3659" s="1408"/>
      <c r="E3659" s="1408"/>
      <c r="F3659" s="1408"/>
      <c r="G3659" s="1408"/>
      <c r="H3659" s="1408"/>
      <c r="I3659" s="1408"/>
      <c r="J3659" s="1402" t="s">
        <v>358</v>
      </c>
      <c r="K3659" s="1409">
        <f>+K3656*K3657/K3658</f>
        <v>71.197720588235285</v>
      </c>
      <c r="L3659" s="1402" t="s">
        <v>9</v>
      </c>
      <c r="M3659" s="419"/>
      <c r="N3659" s="671"/>
      <c r="O3659"/>
      <c r="P3659" s="412"/>
      <c r="Q3659" s="391"/>
      <c r="R3659" s="393"/>
    </row>
    <row r="3660" spans="1:18" ht="30" customHeight="1" thickBot="1" x14ac:dyDescent="0.3">
      <c r="A3660" s="1402"/>
      <c r="B3660" s="1402"/>
      <c r="C3660" s="1408"/>
      <c r="D3660" s="1408"/>
      <c r="E3660" s="1408"/>
      <c r="F3660" s="1408"/>
      <c r="G3660" s="413" t="s">
        <v>537</v>
      </c>
      <c r="H3660" s="1408"/>
      <c r="I3660" s="1408"/>
      <c r="J3660" s="361">
        <f>VLOOKUP(B3652,'Mil Cost Premiums for RUCs'!$A$4:$R$265,18,FALSE)</f>
        <v>1.1379589900046172</v>
      </c>
      <c r="K3660" s="1409">
        <f>+K3659*J3660</f>
        <v>81.020086211219166</v>
      </c>
      <c r="L3660" s="1402" t="s">
        <v>9</v>
      </c>
      <c r="M3660" s="419"/>
      <c r="N3660" s="420"/>
      <c r="O3660"/>
      <c r="P3660" s="412"/>
      <c r="Q3660" s="391"/>
      <c r="R3660" s="393"/>
    </row>
    <row r="3661" spans="1:18" ht="30" customHeight="1" thickBot="1" x14ac:dyDescent="0.3">
      <c r="A3661" s="76"/>
      <c r="B3661" s="77"/>
      <c r="C3661" s="77"/>
      <c r="D3661" s="77"/>
      <c r="E3661" s="77"/>
      <c r="F3661" s="77"/>
      <c r="G3661" s="77"/>
      <c r="H3661" s="77"/>
      <c r="I3661" s="77"/>
      <c r="J3661" s="77"/>
      <c r="K3661" s="77"/>
      <c r="L3661" s="78"/>
      <c r="M3661" s="419"/>
      <c r="N3661" s="420"/>
      <c r="O3661"/>
      <c r="P3661" s="412"/>
      <c r="Q3661" s="391"/>
      <c r="R3661" s="393"/>
    </row>
    <row r="3662" spans="1:18" ht="30" customHeight="1" x14ac:dyDescent="0.25">
      <c r="A3662" s="30" t="s">
        <v>288</v>
      </c>
      <c r="B3662" s="208">
        <v>7449</v>
      </c>
      <c r="C3662" s="209" t="s">
        <v>2327</v>
      </c>
      <c r="D3662" s="210"/>
      <c r="E3662" s="177" t="s">
        <v>291</v>
      </c>
      <c r="F3662" s="178" t="s">
        <v>9</v>
      </c>
      <c r="G3662" s="123" t="s">
        <v>375</v>
      </c>
      <c r="H3662" s="539">
        <v>1501</v>
      </c>
      <c r="I3662" s="177" t="s">
        <v>292</v>
      </c>
      <c r="J3662" s="38" t="s">
        <v>883</v>
      </c>
      <c r="K3662" s="38"/>
      <c r="L3662" s="389"/>
      <c r="M3662" s="425"/>
      <c r="N3662" s="420"/>
      <c r="O3662"/>
      <c r="P3662" s="412"/>
      <c r="Q3662" s="391"/>
      <c r="R3662" s="393"/>
    </row>
    <row r="3663" spans="1:18" s="49" customFormat="1" ht="30" customHeight="1" x14ac:dyDescent="0.25">
      <c r="A3663" s="48" t="s">
        <v>529</v>
      </c>
      <c r="B3663" s="394" t="s">
        <v>560</v>
      </c>
      <c r="C3663" s="395"/>
      <c r="D3663" s="396"/>
      <c r="E3663" s="397" t="s">
        <v>519</v>
      </c>
      <c r="F3663" s="397" t="s">
        <v>561</v>
      </c>
      <c r="G3663" s="398" t="s">
        <v>562</v>
      </c>
      <c r="H3663" s="399"/>
      <c r="I3663" s="181" t="s">
        <v>530</v>
      </c>
      <c r="J3663" s="181"/>
      <c r="K3663" s="493" t="s">
        <v>521</v>
      </c>
      <c r="L3663" s="494"/>
      <c r="M3663" s="419"/>
      <c r="N3663" s="420"/>
      <c r="P3663" s="412"/>
      <c r="Q3663" s="391"/>
      <c r="R3663" s="393"/>
    </row>
    <row r="3664" spans="1:18" ht="30" customHeight="1" x14ac:dyDescent="0.25">
      <c r="A3664" s="1299" t="s">
        <v>2328</v>
      </c>
      <c r="B3664" s="503" t="s">
        <v>2329</v>
      </c>
      <c r="C3664" s="504"/>
      <c r="D3664" s="505"/>
      <c r="E3664" s="405">
        <v>123.88</v>
      </c>
      <c r="F3664" s="20" t="s">
        <v>9</v>
      </c>
      <c r="G3664" s="522"/>
      <c r="H3664" s="20"/>
      <c r="I3664" s="20">
        <v>1.06</v>
      </c>
      <c r="J3664" s="20"/>
      <c r="K3664" s="405">
        <f>+E3664*I3664</f>
        <v>131.31280000000001</v>
      </c>
      <c r="L3664" s="20" t="s">
        <v>9</v>
      </c>
      <c r="M3664" s="670"/>
      <c r="N3664" s="420"/>
      <c r="O3664"/>
      <c r="P3664" s="412"/>
      <c r="Q3664" s="391"/>
      <c r="R3664" s="393"/>
    </row>
    <row r="3665" spans="1:21" ht="30" customHeight="1" x14ac:dyDescent="0.25">
      <c r="A3665" s="1299" t="s">
        <v>691</v>
      </c>
      <c r="B3665" s="402" t="s">
        <v>2330</v>
      </c>
      <c r="C3665" s="403"/>
      <c r="D3665" s="404"/>
      <c r="E3665" s="23">
        <v>4.4800000000000004</v>
      </c>
      <c r="F3665" s="20" t="s">
        <v>9</v>
      </c>
      <c r="G3665" s="1098"/>
      <c r="H3665" s="754"/>
      <c r="I3665" s="20">
        <v>1.06</v>
      </c>
      <c r="J3665" s="20"/>
      <c r="K3665" s="405">
        <f>+E3665*I3665</f>
        <v>4.748800000000001</v>
      </c>
      <c r="L3665" s="20" t="s">
        <v>9</v>
      </c>
      <c r="M3665" s="670"/>
      <c r="N3665" s="420"/>
      <c r="O3665"/>
      <c r="P3665" s="412"/>
      <c r="Q3665" s="391"/>
      <c r="R3665" s="393"/>
    </row>
    <row r="3666" spans="1:21" ht="30" customHeight="1" x14ac:dyDescent="0.25">
      <c r="A3666" s="1299" t="s">
        <v>2331</v>
      </c>
      <c r="B3666" s="402" t="s">
        <v>2332</v>
      </c>
      <c r="C3666" s="403"/>
      <c r="D3666" s="404"/>
      <c r="E3666" s="23">
        <f>((3.26+6.08)/2)*800</f>
        <v>3736</v>
      </c>
      <c r="F3666" s="20" t="s">
        <v>11</v>
      </c>
      <c r="G3666" s="1093">
        <f>+H3662</f>
        <v>1501</v>
      </c>
      <c r="H3666" s="606" t="s">
        <v>1318</v>
      </c>
      <c r="I3666" s="20">
        <v>1.04</v>
      </c>
      <c r="J3666" s="20"/>
      <c r="K3666" s="405">
        <f>+E3666/G3666*I3666</f>
        <v>2.5885676215856095</v>
      </c>
      <c r="L3666" s="20" t="s">
        <v>9</v>
      </c>
      <c r="M3666" s="419"/>
      <c r="N3666" s="671"/>
      <c r="O3666"/>
      <c r="P3666" s="412"/>
      <c r="Q3666" s="391"/>
      <c r="R3666" s="393"/>
    </row>
    <row r="3667" spans="1:21" ht="30" customHeight="1" x14ac:dyDescent="0.25">
      <c r="A3667" s="1299" t="s">
        <v>2331</v>
      </c>
      <c r="B3667" s="402" t="s">
        <v>2333</v>
      </c>
      <c r="C3667" s="403"/>
      <c r="D3667" s="404"/>
      <c r="E3667" s="23">
        <f>((4.06+7.45)/2)*800</f>
        <v>4604</v>
      </c>
      <c r="F3667" s="20" t="s">
        <v>11</v>
      </c>
      <c r="G3667" s="1093">
        <v>1501</v>
      </c>
      <c r="H3667" s="606" t="s">
        <v>1318</v>
      </c>
      <c r="I3667" s="20">
        <v>1.04</v>
      </c>
      <c r="J3667" s="20"/>
      <c r="K3667" s="405">
        <f>+E3667/G3667*I3667</f>
        <v>3.1899800133244507</v>
      </c>
      <c r="L3667" s="20" t="s">
        <v>9</v>
      </c>
      <c r="M3667" s="434"/>
      <c r="N3667" s="671"/>
      <c r="O3667" s="43"/>
      <c r="P3667" s="672"/>
      <c r="Q3667" s="671"/>
      <c r="R3667" s="673"/>
    </row>
    <row r="3668" spans="1:21" ht="30" customHeight="1" x14ac:dyDescent="0.25">
      <c r="A3668" s="61" t="s">
        <v>2331</v>
      </c>
      <c r="B3668" s="402" t="s">
        <v>2334</v>
      </c>
      <c r="C3668" s="403"/>
      <c r="D3668" s="404"/>
      <c r="E3668" s="23">
        <f>((170+325)/2)</f>
        <v>247.5</v>
      </c>
      <c r="F3668" s="20" t="s">
        <v>11</v>
      </c>
      <c r="G3668" s="1093">
        <f>+H3662</f>
        <v>1501</v>
      </c>
      <c r="H3668" s="606" t="s">
        <v>1318</v>
      </c>
      <c r="I3668" s="20">
        <v>1.04</v>
      </c>
      <c r="J3668" s="20"/>
      <c r="K3668" s="405">
        <f>+E3668/G3668*I3668</f>
        <v>0.17148567621585611</v>
      </c>
      <c r="L3668" s="20" t="s">
        <v>9</v>
      </c>
      <c r="M3668" s="434"/>
      <c r="N3668" s="420"/>
      <c r="O3668" s="43"/>
      <c r="P3668" s="672"/>
      <c r="Q3668" s="671"/>
      <c r="R3668" s="673"/>
    </row>
    <row r="3669" spans="1:21" ht="30" customHeight="1" x14ac:dyDescent="0.25">
      <c r="A3669" s="1446"/>
      <c r="B3669" s="191"/>
      <c r="C3669" s="191"/>
      <c r="D3669" s="191"/>
      <c r="E3669" s="405"/>
      <c r="F3669" s="20"/>
      <c r="G3669" s="838"/>
      <c r="H3669" s="754"/>
      <c r="I3669" s="20"/>
      <c r="J3669" s="20" t="s">
        <v>578</v>
      </c>
      <c r="K3669" s="405">
        <f>SUM(K3664:K3668)</f>
        <v>142.01163331112593</v>
      </c>
      <c r="L3669" s="20" t="s">
        <v>9</v>
      </c>
      <c r="M3669" s="419"/>
      <c r="N3669" s="420"/>
      <c r="O3669"/>
      <c r="P3669" s="412"/>
      <c r="Q3669" s="391"/>
      <c r="R3669" s="393"/>
    </row>
    <row r="3670" spans="1:21" ht="30" customHeight="1" x14ac:dyDescent="0.25">
      <c r="A3670" s="61"/>
      <c r="B3670" s="410"/>
      <c r="C3670" s="410"/>
      <c r="D3670" s="410"/>
      <c r="E3670" s="405"/>
      <c r="F3670" s="338" t="s">
        <v>533</v>
      </c>
      <c r="G3670" s="339" t="s">
        <v>534</v>
      </c>
      <c r="H3670" s="339"/>
      <c r="I3670" s="339"/>
      <c r="J3670" s="339"/>
      <c r="K3670" s="340">
        <v>1.07</v>
      </c>
      <c r="L3670" s="10"/>
      <c r="M3670" s="425"/>
      <c r="N3670" s="420"/>
      <c r="O3670" s="42"/>
      <c r="P3670" s="41"/>
      <c r="Q3670" s="41"/>
      <c r="R3670" s="41"/>
      <c r="S3670" s="41"/>
      <c r="T3670" s="41"/>
      <c r="U3670" s="43"/>
    </row>
    <row r="3671" spans="1:21" ht="30" customHeight="1" x14ac:dyDescent="0.25">
      <c r="A3671" s="61"/>
      <c r="B3671" s="410"/>
      <c r="C3671" s="410"/>
      <c r="D3671" s="410"/>
      <c r="E3671" s="405"/>
      <c r="F3671" s="343"/>
      <c r="G3671" s="344" t="s">
        <v>535</v>
      </c>
      <c r="H3671" s="344"/>
      <c r="I3671" s="344"/>
      <c r="J3671" s="344"/>
      <c r="K3671" s="340">
        <v>1.02</v>
      </c>
      <c r="L3671" s="10"/>
      <c r="M3671" s="419"/>
      <c r="N3671" s="420"/>
      <c r="O3671" s="42"/>
      <c r="P3671" s="41"/>
      <c r="Q3671" s="41"/>
      <c r="R3671" s="41"/>
      <c r="S3671" s="41"/>
      <c r="T3671" s="41"/>
      <c r="U3671" s="43"/>
    </row>
    <row r="3672" spans="1:21" s="41" customFormat="1" ht="30" customHeight="1" x14ac:dyDescent="0.25">
      <c r="A3672" s="61"/>
      <c r="B3672" s="20"/>
      <c r="C3672" s="18"/>
      <c r="D3672" s="18"/>
      <c r="E3672" s="18"/>
      <c r="F3672" s="18"/>
      <c r="G3672" s="18"/>
      <c r="H3672" s="18"/>
      <c r="I3672" s="18"/>
      <c r="J3672" s="20" t="s">
        <v>358</v>
      </c>
      <c r="K3672" s="23">
        <f>+K3669*K3670/K3671</f>
        <v>148.97298788520075</v>
      </c>
      <c r="L3672" s="20" t="s">
        <v>9</v>
      </c>
      <c r="M3672" s="419"/>
      <c r="N3672" s="420"/>
      <c r="O3672" s="42"/>
    </row>
    <row r="3673" spans="1:21" s="49" customFormat="1" ht="30" customHeight="1" thickBot="1" x14ac:dyDescent="0.3">
      <c r="A3673" s="61"/>
      <c r="B3673" s="20"/>
      <c r="C3673" s="18"/>
      <c r="D3673" s="18"/>
      <c r="E3673" s="18"/>
      <c r="F3673" s="18"/>
      <c r="G3673" s="413" t="s">
        <v>537</v>
      </c>
      <c r="H3673" s="18"/>
      <c r="I3673" s="18"/>
      <c r="J3673" s="361">
        <f>VLOOKUP(B3662,'Mil Cost Premiums for RUCs'!$A$4:$R$265,18,FALSE)</f>
        <v>1.3319480854780448</v>
      </c>
      <c r="K3673" s="23">
        <f>+K3672*J3673</f>
        <v>198.42428600163709</v>
      </c>
      <c r="L3673" s="20" t="s">
        <v>9</v>
      </c>
      <c r="M3673" s="419"/>
      <c r="N3673" s="420"/>
      <c r="O3673" s="27"/>
    </row>
    <row r="3674" spans="1:21" ht="30" customHeight="1" thickBot="1" x14ac:dyDescent="0.3">
      <c r="A3674" s="76"/>
      <c r="B3674" s="77"/>
      <c r="C3674" s="77"/>
      <c r="D3674" s="77"/>
      <c r="E3674" s="77"/>
      <c r="F3674" s="77"/>
      <c r="G3674" s="77"/>
      <c r="H3674" s="77"/>
      <c r="I3674" s="77"/>
      <c r="J3674" s="77"/>
      <c r="K3674" s="77"/>
      <c r="L3674" s="78"/>
      <c r="M3674" s="670"/>
      <c r="N3674" s="420"/>
      <c r="P3674" s="43"/>
      <c r="Q3674" s="43"/>
      <c r="R3674" s="43"/>
      <c r="S3674" s="60"/>
      <c r="T3674" s="60"/>
    </row>
    <row r="3675" spans="1:21" ht="30" customHeight="1" x14ac:dyDescent="0.25">
      <c r="A3675" s="207" t="s">
        <v>288</v>
      </c>
      <c r="B3675" s="208">
        <v>7511</v>
      </c>
      <c r="C3675" s="282" t="s">
        <v>2335</v>
      </c>
      <c r="D3675" s="283"/>
      <c r="E3675" s="177" t="s">
        <v>291</v>
      </c>
      <c r="F3675" s="178" t="s">
        <v>11</v>
      </c>
      <c r="G3675" s="250" t="s">
        <v>290</v>
      </c>
      <c r="H3675" s="302">
        <v>1</v>
      </c>
      <c r="I3675" s="177" t="s">
        <v>292</v>
      </c>
      <c r="J3675" s="38" t="s">
        <v>2336</v>
      </c>
      <c r="K3675" s="39"/>
      <c r="L3675" s="40"/>
      <c r="M3675" s="670"/>
      <c r="N3675" s="420"/>
      <c r="P3675" s="43"/>
      <c r="Q3675" s="43"/>
      <c r="R3675" s="43"/>
      <c r="S3675" s="60"/>
      <c r="T3675" s="60"/>
    </row>
    <row r="3676" spans="1:21" ht="30" customHeight="1" x14ac:dyDescent="0.25">
      <c r="A3676" s="181" t="s">
        <v>517</v>
      </c>
      <c r="B3676" s="180" t="s">
        <v>295</v>
      </c>
      <c r="C3676" s="180"/>
      <c r="D3676" s="180"/>
      <c r="E3676" s="285" t="s">
        <v>2337</v>
      </c>
      <c r="F3676" s="181" t="s">
        <v>518</v>
      </c>
      <c r="G3676" s="665" t="s">
        <v>562</v>
      </c>
      <c r="H3676" s="666"/>
      <c r="I3676" s="286" t="s">
        <v>520</v>
      </c>
      <c r="J3676" s="287"/>
      <c r="K3676" s="493" t="s">
        <v>521</v>
      </c>
      <c r="L3676" s="494"/>
      <c r="M3676" s="419"/>
      <c r="N3676" s="671"/>
      <c r="O3676"/>
      <c r="P3676" s="412"/>
      <c r="Q3676" s="391"/>
      <c r="R3676" s="393"/>
    </row>
    <row r="3677" spans="1:21" ht="30" customHeight="1" x14ac:dyDescent="0.25">
      <c r="A3677" s="20">
        <v>75018</v>
      </c>
      <c r="B3677" s="186" t="s">
        <v>2338</v>
      </c>
      <c r="C3677" s="186"/>
      <c r="D3677" s="186"/>
      <c r="E3677" s="405">
        <v>20</v>
      </c>
      <c r="F3677" s="729">
        <v>16700</v>
      </c>
      <c r="G3677" s="1126" t="s">
        <v>887</v>
      </c>
      <c r="H3677" s="680"/>
      <c r="I3677" s="1109">
        <f>+'MILCON Inflation Table'!$F$15</f>
        <v>0.9813542688910698</v>
      </c>
      <c r="J3677" s="1110"/>
      <c r="K3677" s="304">
        <f>+E3677*F3677*I3677</f>
        <v>327772.32580961729</v>
      </c>
      <c r="L3677" s="290" t="s">
        <v>11</v>
      </c>
      <c r="M3677" s="419"/>
      <c r="N3677" s="671"/>
      <c r="O3677"/>
      <c r="P3677" s="412"/>
      <c r="Q3677" s="391"/>
      <c r="R3677" s="393"/>
    </row>
    <row r="3678" spans="1:21" ht="30" customHeight="1" x14ac:dyDescent="0.25">
      <c r="A3678" s="20">
        <v>75018</v>
      </c>
      <c r="B3678" s="186" t="s">
        <v>2339</v>
      </c>
      <c r="C3678" s="186"/>
      <c r="D3678" s="186"/>
      <c r="E3678" s="1447">
        <v>16</v>
      </c>
      <c r="F3678" s="729">
        <v>23900</v>
      </c>
      <c r="G3678" s="1126" t="s">
        <v>887</v>
      </c>
      <c r="H3678" s="680"/>
      <c r="I3678" s="1109">
        <f>+'MILCON Inflation Table'!$F$15</f>
        <v>0.9813542688910698</v>
      </c>
      <c r="J3678" s="1110"/>
      <c r="K3678" s="304">
        <f>+E3678*F3678*I3678</f>
        <v>375269.87242394511</v>
      </c>
      <c r="L3678" s="290" t="s">
        <v>11</v>
      </c>
      <c r="M3678" s="419"/>
      <c r="N3678" s="420"/>
      <c r="O3678"/>
      <c r="P3678" s="412"/>
      <c r="Q3678" s="391"/>
      <c r="R3678" s="393"/>
    </row>
    <row r="3679" spans="1:21" s="49" customFormat="1" ht="30" customHeight="1" x14ac:dyDescent="0.25">
      <c r="A3679" s="20">
        <v>75018</v>
      </c>
      <c r="B3679" s="186" t="s">
        <v>2340</v>
      </c>
      <c r="C3679" s="186"/>
      <c r="D3679" s="186"/>
      <c r="E3679" s="405">
        <v>11</v>
      </c>
      <c r="F3679" s="729">
        <v>4760</v>
      </c>
      <c r="G3679" s="1126" t="s">
        <v>887</v>
      </c>
      <c r="H3679" s="680"/>
      <c r="I3679" s="1109">
        <f>+'MILCON Inflation Table'!$F$15</f>
        <v>0.9813542688910698</v>
      </c>
      <c r="J3679" s="1110"/>
      <c r="K3679" s="304">
        <f>+E3679*F3679*I3679</f>
        <v>51383.709519136413</v>
      </c>
      <c r="L3679" s="290" t="s">
        <v>11</v>
      </c>
      <c r="M3679" s="25"/>
      <c r="N3679" s="420"/>
      <c r="P3679" s="412"/>
      <c r="Q3679" s="391"/>
      <c r="R3679" s="393"/>
    </row>
    <row r="3680" spans="1:21" s="128" customFormat="1" ht="30" customHeight="1" x14ac:dyDescent="0.25">
      <c r="A3680" s="20">
        <v>75018</v>
      </c>
      <c r="B3680" s="186" t="s">
        <v>2341</v>
      </c>
      <c r="C3680" s="186"/>
      <c r="D3680" s="186"/>
      <c r="E3680" s="405">
        <v>8.3000000000000007</v>
      </c>
      <c r="F3680" s="729">
        <v>11340</v>
      </c>
      <c r="G3680" s="1126" t="s">
        <v>887</v>
      </c>
      <c r="H3680" s="680"/>
      <c r="I3680" s="1109">
        <f>+'MILCON Inflation Table'!$F$15</f>
        <v>0.9813542688910698</v>
      </c>
      <c r="J3680" s="1110"/>
      <c r="K3680" s="304">
        <f>+E3680*F3680*I3680</f>
        <v>92367.02649656529</v>
      </c>
      <c r="L3680" s="290" t="s">
        <v>11</v>
      </c>
      <c r="M3680" s="502"/>
      <c r="N3680" s="420"/>
      <c r="O3680"/>
      <c r="P3680" s="412"/>
      <c r="Q3680" s="391"/>
      <c r="R3680" s="393"/>
      <c r="S3680"/>
    </row>
    <row r="3681" spans="1:19" s="128" customFormat="1" ht="30" customHeight="1" thickBot="1" x14ac:dyDescent="0.3">
      <c r="A3681" s="20"/>
      <c r="B3681" s="503"/>
      <c r="C3681" s="504"/>
      <c r="D3681" s="505"/>
      <c r="E3681" s="465"/>
      <c r="F3681" s="763"/>
      <c r="G3681" s="465"/>
      <c r="H3681" s="764" t="s">
        <v>536</v>
      </c>
      <c r="I3681" s="18"/>
      <c r="J3681" s="185" t="s">
        <v>358</v>
      </c>
      <c r="K3681" s="305">
        <f>AVERAGE(K3677:K3680)</f>
        <v>211698.23356231605</v>
      </c>
      <c r="L3681" s="290" t="s">
        <v>11</v>
      </c>
      <c r="M3681" s="341"/>
      <c r="N3681" s="342"/>
      <c r="O3681"/>
      <c r="P3681" s="412"/>
      <c r="Q3681" s="391"/>
      <c r="R3681" s="393"/>
      <c r="S3681"/>
    </row>
    <row r="3682" spans="1:19" s="128" customFormat="1" ht="30" customHeight="1" thickBot="1" x14ac:dyDescent="0.3">
      <c r="A3682" s="76"/>
      <c r="B3682" s="77"/>
      <c r="C3682" s="77"/>
      <c r="D3682" s="77"/>
      <c r="E3682" s="77"/>
      <c r="F3682" s="77"/>
      <c r="G3682" s="77"/>
      <c r="H3682" s="77"/>
      <c r="I3682" s="77"/>
      <c r="J3682" s="77"/>
      <c r="K3682" s="77"/>
      <c r="L3682" s="78"/>
      <c r="M3682" s="341"/>
      <c r="N3682" s="1894"/>
      <c r="O3682"/>
      <c r="P3682" s="412"/>
      <c r="Q3682" s="391"/>
      <c r="R3682" s="393"/>
    </row>
    <row r="3683" spans="1:19" s="128" customFormat="1" ht="30" customHeight="1" x14ac:dyDescent="0.25">
      <c r="A3683" s="207" t="s">
        <v>288</v>
      </c>
      <c r="B3683" s="208">
        <v>7512</v>
      </c>
      <c r="C3683" s="209" t="s">
        <v>2342</v>
      </c>
      <c r="D3683" s="210"/>
      <c r="E3683" s="177" t="s">
        <v>291</v>
      </c>
      <c r="F3683" s="178" t="s">
        <v>11</v>
      </c>
      <c r="G3683" s="465" t="s">
        <v>290</v>
      </c>
      <c r="H3683" s="179">
        <v>1</v>
      </c>
      <c r="I3683" s="177" t="s">
        <v>292</v>
      </c>
      <c r="J3683" s="38" t="s">
        <v>883</v>
      </c>
      <c r="K3683" s="38"/>
      <c r="L3683" s="389"/>
      <c r="M3683" s="486"/>
      <c r="N3683" s="342"/>
      <c r="O3683"/>
      <c r="P3683" s="412"/>
      <c r="Q3683" s="391"/>
      <c r="R3683" s="393"/>
    </row>
    <row r="3684" spans="1:19" ht="30" customHeight="1" x14ac:dyDescent="0.25">
      <c r="A3684" s="185" t="s">
        <v>529</v>
      </c>
      <c r="B3684" s="394" t="s">
        <v>560</v>
      </c>
      <c r="C3684" s="395"/>
      <c r="D3684" s="396"/>
      <c r="E3684" s="397" t="s">
        <v>519</v>
      </c>
      <c r="F3684" s="397" t="s">
        <v>561</v>
      </c>
      <c r="G3684" s="398" t="s">
        <v>562</v>
      </c>
      <c r="H3684" s="399"/>
      <c r="I3684" s="181" t="s">
        <v>530</v>
      </c>
      <c r="J3684" s="181"/>
      <c r="K3684" s="493" t="s">
        <v>521</v>
      </c>
      <c r="L3684" s="494"/>
      <c r="M3684" s="43"/>
      <c r="O3684" s="43"/>
      <c r="P3684" s="672"/>
      <c r="Q3684" s="671"/>
      <c r="R3684" s="673"/>
    </row>
    <row r="3685" spans="1:19" ht="30" customHeight="1" x14ac:dyDescent="0.25">
      <c r="A3685" s="185"/>
      <c r="B3685" s="402" t="s">
        <v>2343</v>
      </c>
      <c r="C3685" s="403"/>
      <c r="D3685" s="404"/>
      <c r="E3685" s="397"/>
      <c r="F3685" s="397"/>
      <c r="G3685" s="774"/>
      <c r="H3685" s="775"/>
      <c r="I3685" s="599"/>
      <c r="J3685" s="599"/>
      <c r="K3685" s="397"/>
      <c r="L3685" s="397"/>
      <c r="M3685" s="419"/>
      <c r="O3685" s="43"/>
      <c r="P3685" s="672"/>
      <c r="Q3685" s="671"/>
      <c r="R3685" s="673"/>
    </row>
    <row r="3686" spans="1:19" s="128" customFormat="1" ht="30" customHeight="1" x14ac:dyDescent="0.25">
      <c r="A3686" s="20" t="s">
        <v>2344</v>
      </c>
      <c r="B3686" s="503" t="s">
        <v>2345</v>
      </c>
      <c r="C3686" s="504"/>
      <c r="D3686" s="505"/>
      <c r="E3686" s="776">
        <f>+(62+76.5)/2</f>
        <v>69.25</v>
      </c>
      <c r="F3686" s="22" t="s">
        <v>9</v>
      </c>
      <c r="G3686" s="777">
        <v>13455</v>
      </c>
      <c r="H3686" s="649" t="s">
        <v>887</v>
      </c>
      <c r="I3686" s="20">
        <v>1.04</v>
      </c>
      <c r="J3686" s="20"/>
      <c r="K3686" s="776">
        <f>+I3686*G3686*E3686</f>
        <v>969029.10000000009</v>
      </c>
      <c r="L3686" s="22" t="s">
        <v>11</v>
      </c>
      <c r="M3686" s="425"/>
      <c r="N3686" s="25"/>
      <c r="O3686"/>
      <c r="P3686" s="412"/>
      <c r="Q3686" s="391"/>
      <c r="R3686" s="393"/>
    </row>
    <row r="3687" spans="1:19" ht="30" customHeight="1" x14ac:dyDescent="0.25">
      <c r="A3687" s="20"/>
      <c r="B3687" s="503" t="s">
        <v>2346</v>
      </c>
      <c r="C3687" s="504"/>
      <c r="D3687" s="505"/>
      <c r="E3687" s="776"/>
      <c r="F3687" s="22"/>
      <c r="G3687" s="777"/>
      <c r="H3687" s="649"/>
      <c r="I3687" s="20"/>
      <c r="J3687" s="20"/>
      <c r="K3687" s="776">
        <f>+K3686*0.8</f>
        <v>775223.28000000014</v>
      </c>
      <c r="L3687" s="22" t="s">
        <v>11</v>
      </c>
      <c r="M3687" s="419"/>
      <c r="N3687" s="420"/>
      <c r="O3687"/>
      <c r="P3687" s="412"/>
      <c r="Q3687" s="391"/>
      <c r="R3687" s="393"/>
    </row>
    <row r="3688" spans="1:19" ht="30" customHeight="1" x14ac:dyDescent="0.25">
      <c r="A3688" s="1333" t="s">
        <v>849</v>
      </c>
      <c r="B3688" s="503" t="s">
        <v>2347</v>
      </c>
      <c r="C3688" s="504"/>
      <c r="D3688" s="505"/>
      <c r="E3688" s="776">
        <f>+(4.41+6.58)/2</f>
        <v>5.4950000000000001</v>
      </c>
      <c r="F3688" s="22" t="s">
        <v>9</v>
      </c>
      <c r="G3688" s="777">
        <v>11238</v>
      </c>
      <c r="H3688" s="649" t="s">
        <v>887</v>
      </c>
      <c r="I3688" s="20">
        <v>1.04</v>
      </c>
      <c r="J3688" s="20"/>
      <c r="K3688" s="776">
        <f>+I3688*G3688*E3688</f>
        <v>64222.922400000003</v>
      </c>
      <c r="L3688" s="22" t="s">
        <v>11</v>
      </c>
      <c r="M3688" s="1342"/>
      <c r="N3688" s="420"/>
      <c r="O3688"/>
      <c r="P3688" s="412"/>
      <c r="Q3688" s="391"/>
      <c r="R3688" s="393"/>
    </row>
    <row r="3689" spans="1:19" ht="30" customHeight="1" x14ac:dyDescent="0.25">
      <c r="A3689" s="1333" t="s">
        <v>849</v>
      </c>
      <c r="B3689" s="503" t="s">
        <v>2348</v>
      </c>
      <c r="C3689" s="504"/>
      <c r="D3689" s="505"/>
      <c r="E3689" s="776">
        <f>+(0.4+1.04)/2</f>
        <v>0.72</v>
      </c>
      <c r="F3689" s="22" t="s">
        <v>9</v>
      </c>
      <c r="G3689" s="777">
        <v>11238</v>
      </c>
      <c r="H3689" s="649" t="s">
        <v>887</v>
      </c>
      <c r="I3689" s="20">
        <v>1.04</v>
      </c>
      <c r="J3689" s="20"/>
      <c r="K3689" s="776">
        <f>+I3689*G3689*E3689</f>
        <v>8415.0144</v>
      </c>
      <c r="L3689" s="22" t="s">
        <v>11</v>
      </c>
      <c r="M3689" s="419"/>
      <c r="N3689" s="420"/>
      <c r="O3689"/>
      <c r="P3689" s="412"/>
      <c r="Q3689" s="391"/>
      <c r="R3689" s="393"/>
    </row>
    <row r="3690" spans="1:19" s="49" customFormat="1" ht="30" customHeight="1" x14ac:dyDescent="0.25">
      <c r="A3690" s="1333" t="s">
        <v>2331</v>
      </c>
      <c r="B3690" s="503" t="s">
        <v>2349</v>
      </c>
      <c r="C3690" s="504"/>
      <c r="D3690" s="505"/>
      <c r="E3690" s="995">
        <f>16.35+2.14</f>
        <v>18.490000000000002</v>
      </c>
      <c r="F3690" s="730" t="s">
        <v>7</v>
      </c>
      <c r="G3690" s="730">
        <v>650</v>
      </c>
      <c r="H3690" s="649" t="s">
        <v>2350</v>
      </c>
      <c r="I3690" s="20">
        <v>1.04</v>
      </c>
      <c r="J3690" s="20"/>
      <c r="K3690" s="995">
        <f>+I3690*G3690*E3690</f>
        <v>12499.240000000002</v>
      </c>
      <c r="L3690" s="20" t="s">
        <v>11</v>
      </c>
      <c r="M3690" s="419"/>
      <c r="N3690" s="1343"/>
      <c r="P3690" s="412"/>
      <c r="Q3690" s="391"/>
      <c r="R3690" s="393"/>
    </row>
    <row r="3691" spans="1:19" ht="30" customHeight="1" x14ac:dyDescent="0.25">
      <c r="A3691" s="1333" t="s">
        <v>2331</v>
      </c>
      <c r="B3691" s="402" t="s">
        <v>2351</v>
      </c>
      <c r="C3691" s="403"/>
      <c r="D3691" s="404"/>
      <c r="E3691" s="995">
        <v>454</v>
      </c>
      <c r="F3691" s="730" t="s">
        <v>11</v>
      </c>
      <c r="G3691" s="1112">
        <v>4</v>
      </c>
      <c r="H3691" s="758" t="s">
        <v>11</v>
      </c>
      <c r="I3691" s="649">
        <v>1.04</v>
      </c>
      <c r="J3691" s="20"/>
      <c r="K3691" s="995">
        <f>+I3691*G3691*E3691</f>
        <v>1888.64</v>
      </c>
      <c r="L3691" s="20" t="s">
        <v>11</v>
      </c>
      <c r="M3691" s="1874"/>
      <c r="N3691" s="420"/>
      <c r="O3691"/>
      <c r="P3691" s="412"/>
      <c r="Q3691" s="391"/>
      <c r="R3691" s="393"/>
    </row>
    <row r="3692" spans="1:19" ht="30" customHeight="1" x14ac:dyDescent="0.25">
      <c r="A3692" s="778"/>
      <c r="B3692" s="186"/>
      <c r="C3692" s="186"/>
      <c r="D3692" s="186"/>
      <c r="E3692" s="405"/>
      <c r="F3692" s="20"/>
      <c r="G3692" s="779"/>
      <c r="H3692" s="22"/>
      <c r="I3692" s="20"/>
      <c r="J3692" s="20" t="s">
        <v>578</v>
      </c>
      <c r="K3692" s="780">
        <f>SUM(K3687:K3690)</f>
        <v>860360.45680000016</v>
      </c>
      <c r="L3692" s="20" t="s">
        <v>11</v>
      </c>
      <c r="M3692" s="670"/>
      <c r="N3692" s="420"/>
      <c r="O3692"/>
      <c r="P3692" s="412"/>
      <c r="Q3692" s="391"/>
      <c r="R3692" s="393"/>
    </row>
    <row r="3693" spans="1:19" ht="30" customHeight="1" x14ac:dyDescent="0.25">
      <c r="A3693" s="20"/>
      <c r="B3693" s="410"/>
      <c r="C3693" s="410"/>
      <c r="D3693" s="410"/>
      <c r="E3693" s="405"/>
      <c r="F3693" s="338" t="s">
        <v>533</v>
      </c>
      <c r="G3693" s="339" t="s">
        <v>534</v>
      </c>
      <c r="H3693" s="339"/>
      <c r="I3693" s="339"/>
      <c r="J3693" s="339"/>
      <c r="K3693" s="340">
        <v>1.07</v>
      </c>
      <c r="L3693" s="10"/>
      <c r="M3693" s="419"/>
      <c r="N3693" s="671"/>
      <c r="O3693"/>
      <c r="P3693" s="412"/>
      <c r="Q3693" s="391"/>
      <c r="R3693" s="393"/>
    </row>
    <row r="3694" spans="1:19" ht="30" customHeight="1" x14ac:dyDescent="0.25">
      <c r="A3694" s="20"/>
      <c r="B3694" s="410"/>
      <c r="C3694" s="410"/>
      <c r="D3694" s="410"/>
      <c r="E3694" s="405"/>
      <c r="F3694" s="343"/>
      <c r="G3694" s="344" t="s">
        <v>535</v>
      </c>
      <c r="H3694" s="344"/>
      <c r="I3694" s="344"/>
      <c r="J3694" s="344"/>
      <c r="K3694" s="340">
        <v>1.02</v>
      </c>
      <c r="L3694" s="10"/>
      <c r="M3694" s="419"/>
      <c r="N3694" s="671"/>
      <c r="O3694"/>
      <c r="P3694" s="412"/>
      <c r="Q3694" s="391"/>
      <c r="R3694" s="393"/>
    </row>
    <row r="3695" spans="1:19" ht="30" customHeight="1" x14ac:dyDescent="0.25">
      <c r="A3695" s="20"/>
      <c r="B3695" s="20"/>
      <c r="C3695" s="18"/>
      <c r="D3695" s="18"/>
      <c r="E3695" s="18"/>
      <c r="F3695" s="18"/>
      <c r="G3695" s="18"/>
      <c r="H3695" s="18"/>
      <c r="I3695" s="18"/>
      <c r="J3695" s="20" t="s">
        <v>358</v>
      </c>
      <c r="K3695" s="781">
        <f>+K3692*K3693/K3694</f>
        <v>902534.98899607861</v>
      </c>
      <c r="L3695" s="20" t="s">
        <v>11</v>
      </c>
      <c r="M3695" s="670"/>
      <c r="N3695" s="420"/>
      <c r="O3695"/>
      <c r="P3695" s="412"/>
      <c r="Q3695" s="391"/>
      <c r="R3695" s="393"/>
    </row>
    <row r="3696" spans="1:19" ht="30" customHeight="1" thickBot="1" x14ac:dyDescent="0.3">
      <c r="A3696" s="20"/>
      <c r="B3696" s="20"/>
      <c r="C3696" s="18"/>
      <c r="D3696" s="18"/>
      <c r="E3696" s="18"/>
      <c r="F3696" s="18"/>
      <c r="G3696" s="413" t="s">
        <v>537</v>
      </c>
      <c r="H3696" s="18"/>
      <c r="I3696" s="18"/>
      <c r="J3696" s="361">
        <f>VLOOKUP(B3683,'Mil Cost Premiums for RUCs'!$A$4:$R$265,18,FALSE)</f>
        <v>1.1379589900046172</v>
      </c>
      <c r="K3696" s="23">
        <f>+K3695*J3696</f>
        <v>1027047.804521806</v>
      </c>
      <c r="L3696" s="20" t="s">
        <v>11</v>
      </c>
      <c r="M3696" s="419"/>
      <c r="N3696" s="420"/>
      <c r="O3696" s="43"/>
      <c r="P3696" s="672"/>
      <c r="Q3696" s="671"/>
      <c r="R3696" s="673"/>
    </row>
    <row r="3697" spans="1:21" ht="30" customHeight="1" thickBot="1" x14ac:dyDescent="0.3">
      <c r="A3697" s="76"/>
      <c r="B3697" s="77"/>
      <c r="C3697" s="77"/>
      <c r="D3697" s="77"/>
      <c r="E3697" s="77"/>
      <c r="F3697" s="77"/>
      <c r="G3697" s="77"/>
      <c r="H3697" s="77"/>
      <c r="I3697" s="77"/>
      <c r="J3697" s="77"/>
      <c r="K3697" s="77"/>
      <c r="L3697" s="78"/>
      <c r="M3697" s="425"/>
      <c r="N3697" s="420"/>
      <c r="O3697" s="43"/>
      <c r="P3697" s="672"/>
      <c r="Q3697" s="671"/>
      <c r="R3697" s="673"/>
    </row>
    <row r="3698" spans="1:21" ht="30" customHeight="1" x14ac:dyDescent="0.25">
      <c r="A3698" s="30" t="s">
        <v>288</v>
      </c>
      <c r="B3698" s="208">
        <v>7513</v>
      </c>
      <c r="C3698" s="209" t="s">
        <v>2352</v>
      </c>
      <c r="D3698" s="210"/>
      <c r="E3698" s="177" t="s">
        <v>291</v>
      </c>
      <c r="F3698" s="178" t="s">
        <v>11</v>
      </c>
      <c r="G3698" s="465" t="s">
        <v>290</v>
      </c>
      <c r="H3698" s="1425">
        <v>1</v>
      </c>
      <c r="I3698" s="177" t="s">
        <v>292</v>
      </c>
      <c r="J3698" s="38" t="s">
        <v>883</v>
      </c>
      <c r="K3698" s="38"/>
      <c r="L3698" s="389"/>
      <c r="M3698" s="419"/>
      <c r="N3698" s="420"/>
      <c r="O3698"/>
      <c r="P3698" s="412"/>
      <c r="Q3698" s="391"/>
      <c r="R3698" s="393"/>
    </row>
    <row r="3699" spans="1:21" ht="30" customHeight="1" x14ac:dyDescent="0.25">
      <c r="A3699" s="48" t="s">
        <v>529</v>
      </c>
      <c r="B3699" s="394" t="s">
        <v>560</v>
      </c>
      <c r="C3699" s="395"/>
      <c r="D3699" s="396"/>
      <c r="E3699" s="397" t="s">
        <v>519</v>
      </c>
      <c r="F3699" s="397" t="s">
        <v>561</v>
      </c>
      <c r="G3699" s="398" t="s">
        <v>562</v>
      </c>
      <c r="H3699" s="399"/>
      <c r="I3699" s="181" t="s">
        <v>530</v>
      </c>
      <c r="J3699" s="181"/>
      <c r="K3699" s="493" t="s">
        <v>521</v>
      </c>
      <c r="L3699" s="494"/>
      <c r="M3699" s="419"/>
      <c r="N3699" s="420"/>
      <c r="O3699" s="42"/>
      <c r="P3699" s="41"/>
      <c r="Q3699" s="41"/>
      <c r="R3699" s="41"/>
      <c r="S3699" s="41"/>
      <c r="T3699" s="41"/>
      <c r="U3699" s="43"/>
    </row>
    <row r="3700" spans="1:21" ht="30" customHeight="1" x14ac:dyDescent="0.25">
      <c r="A3700" s="48"/>
      <c r="B3700" s="523" t="s">
        <v>2353</v>
      </c>
      <c r="C3700" s="989"/>
      <c r="D3700" s="990"/>
      <c r="E3700" s="397"/>
      <c r="F3700" s="397"/>
      <c r="G3700" s="774"/>
      <c r="H3700" s="775"/>
      <c r="I3700" s="599"/>
      <c r="J3700" s="599"/>
      <c r="K3700" s="397"/>
      <c r="L3700" s="397"/>
      <c r="M3700" s="419"/>
      <c r="N3700" s="420"/>
      <c r="O3700" s="42"/>
      <c r="P3700" s="41"/>
      <c r="Q3700" s="41"/>
      <c r="R3700" s="41"/>
      <c r="S3700" s="41"/>
      <c r="T3700" s="41"/>
      <c r="U3700" s="43"/>
    </row>
    <row r="3701" spans="1:21" s="41" customFormat="1" ht="30" customHeight="1" x14ac:dyDescent="0.25">
      <c r="A3701" s="1334" t="s">
        <v>2354</v>
      </c>
      <c r="B3701" s="503" t="s">
        <v>2355</v>
      </c>
      <c r="C3701" s="504"/>
      <c r="D3701" s="505"/>
      <c r="E3701" s="405">
        <f>+(149000+220000)/2</f>
        <v>184500</v>
      </c>
      <c r="F3701" s="22" t="s">
        <v>2356</v>
      </c>
      <c r="G3701" s="730">
        <v>18</v>
      </c>
      <c r="H3701" s="649" t="s">
        <v>2357</v>
      </c>
      <c r="I3701" s="751">
        <v>1.03</v>
      </c>
      <c r="J3701" s="20"/>
      <c r="K3701" s="405">
        <f>+E3701*G3701*I3701</f>
        <v>3420630</v>
      </c>
      <c r="L3701" s="20" t="s">
        <v>11</v>
      </c>
      <c r="M3701" s="419"/>
      <c r="N3701" s="420"/>
      <c r="O3701" s="42"/>
    </row>
    <row r="3702" spans="1:21" s="49" customFormat="1" ht="30" customHeight="1" x14ac:dyDescent="0.25">
      <c r="A3702" s="1334" t="s">
        <v>2354</v>
      </c>
      <c r="B3702" s="503" t="s">
        <v>2358</v>
      </c>
      <c r="C3702" s="504"/>
      <c r="D3702" s="505"/>
      <c r="E3702" s="405">
        <f>+(149000+220000)/2</f>
        <v>184500</v>
      </c>
      <c r="F3702" s="22" t="s">
        <v>2356</v>
      </c>
      <c r="G3702" s="730">
        <v>9</v>
      </c>
      <c r="H3702" s="649" t="s">
        <v>2357</v>
      </c>
      <c r="I3702" s="751">
        <v>1.03</v>
      </c>
      <c r="J3702" s="20"/>
      <c r="K3702" s="405">
        <f>+E3702*G3702*I3702</f>
        <v>1710315</v>
      </c>
      <c r="L3702" s="20" t="s">
        <v>11</v>
      </c>
      <c r="M3702" s="419"/>
      <c r="N3702" s="420"/>
      <c r="O3702" s="27"/>
    </row>
    <row r="3703" spans="1:21" s="41" customFormat="1" ht="30" customHeight="1" x14ac:dyDescent="0.25">
      <c r="A3703" s="1334"/>
      <c r="B3703" s="20"/>
      <c r="C3703" s="18"/>
      <c r="D3703" s="18"/>
      <c r="E3703" s="405"/>
      <c r="F3703" s="20"/>
      <c r="G3703" s="522"/>
      <c r="H3703" s="20"/>
      <c r="I3703" s="20"/>
      <c r="J3703" s="20" t="s">
        <v>536</v>
      </c>
      <c r="K3703" s="405">
        <f>AVERAGE(K3701:K3702)</f>
        <v>2565472.5</v>
      </c>
      <c r="L3703" s="20" t="s">
        <v>11</v>
      </c>
      <c r="M3703" s="670"/>
      <c r="N3703" s="420"/>
      <c r="O3703" s="27"/>
      <c r="P3703"/>
      <c r="Q3703"/>
      <c r="R3703"/>
      <c r="S3703"/>
      <c r="T3703"/>
    </row>
    <row r="3704" spans="1:21" s="41" customFormat="1" ht="30" customHeight="1" x14ac:dyDescent="0.25">
      <c r="A3704" s="61"/>
      <c r="B3704" s="410"/>
      <c r="C3704" s="410"/>
      <c r="D3704" s="410"/>
      <c r="E3704" s="405"/>
      <c r="F3704" s="338" t="s">
        <v>533</v>
      </c>
      <c r="G3704" s="339" t="s">
        <v>534</v>
      </c>
      <c r="H3704" s="339"/>
      <c r="I3704" s="339"/>
      <c r="J3704" s="339"/>
      <c r="K3704" s="340">
        <v>1.07</v>
      </c>
      <c r="L3704" s="10"/>
      <c r="M3704" s="670"/>
      <c r="N3704" s="420"/>
      <c r="O3704" s="27"/>
      <c r="P3704"/>
      <c r="Q3704"/>
      <c r="R3704"/>
      <c r="S3704"/>
      <c r="T3704"/>
    </row>
    <row r="3705" spans="1:21" s="41" customFormat="1" ht="30" customHeight="1" x14ac:dyDescent="0.25">
      <c r="A3705" s="61"/>
      <c r="B3705" s="410"/>
      <c r="C3705" s="410"/>
      <c r="D3705" s="410"/>
      <c r="E3705" s="405"/>
      <c r="F3705" s="343"/>
      <c r="G3705" s="344" t="s">
        <v>535</v>
      </c>
      <c r="H3705" s="344"/>
      <c r="I3705" s="344"/>
      <c r="J3705" s="344"/>
      <c r="K3705" s="340">
        <v>1.02</v>
      </c>
      <c r="L3705" s="10"/>
      <c r="M3705" s="419"/>
      <c r="N3705" s="671"/>
      <c r="O3705" s="27"/>
      <c r="P3705"/>
      <c r="Q3705"/>
      <c r="R3705"/>
      <c r="S3705"/>
      <c r="T3705"/>
    </row>
    <row r="3706" spans="1:21" ht="30" customHeight="1" x14ac:dyDescent="0.25">
      <c r="A3706" s="61"/>
      <c r="B3706" s="20"/>
      <c r="C3706" s="18"/>
      <c r="D3706" s="18"/>
      <c r="E3706" s="18"/>
      <c r="F3706" s="18"/>
      <c r="G3706" s="18"/>
      <c r="H3706" s="18"/>
      <c r="I3706" s="18"/>
      <c r="J3706" s="20" t="s">
        <v>358</v>
      </c>
      <c r="K3706" s="23">
        <f>+K3703*K3704/K3705</f>
        <v>2691230.9558823532</v>
      </c>
      <c r="L3706" s="20" t="s">
        <v>11</v>
      </c>
      <c r="M3706" s="419"/>
      <c r="N3706" s="671"/>
      <c r="P3706" s="43"/>
      <c r="Q3706" s="43"/>
      <c r="R3706" s="43"/>
      <c r="S3706" s="60"/>
      <c r="T3706" s="60"/>
    </row>
    <row r="3707" spans="1:21" ht="30" customHeight="1" thickBot="1" x14ac:dyDescent="0.3">
      <c r="A3707" s="61"/>
      <c r="B3707" s="20"/>
      <c r="C3707" s="18"/>
      <c r="D3707" s="18"/>
      <c r="E3707" s="18"/>
      <c r="F3707" s="18"/>
      <c r="G3707" s="413" t="s">
        <v>537</v>
      </c>
      <c r="H3707" s="18"/>
      <c r="I3707" s="18"/>
      <c r="J3707" s="361">
        <f>VLOOKUP(B3698,'Mil Cost Premiums for RUCs'!$A$4:$R$265,18,FALSE)</f>
        <v>1.1199953840399997</v>
      </c>
      <c r="K3707" s="23">
        <f>+K3706*J3707</f>
        <v>3014166.2479737918</v>
      </c>
      <c r="L3707" s="20" t="s">
        <v>11</v>
      </c>
      <c r="M3707" s="419"/>
      <c r="N3707" s="420"/>
      <c r="P3707" s="43"/>
      <c r="Q3707" s="43"/>
      <c r="R3707" s="43"/>
      <c r="S3707" s="60"/>
      <c r="T3707" s="60"/>
    </row>
    <row r="3708" spans="1:21" ht="30" customHeight="1" thickBot="1" x14ac:dyDescent="0.3">
      <c r="A3708" s="76"/>
      <c r="B3708" s="77"/>
      <c r="C3708" s="77"/>
      <c r="D3708" s="77"/>
      <c r="E3708" s="77"/>
      <c r="F3708" s="77"/>
      <c r="G3708" s="77"/>
      <c r="H3708" s="77"/>
      <c r="I3708" s="77"/>
      <c r="J3708" s="77"/>
      <c r="K3708" s="77"/>
      <c r="L3708" s="78"/>
      <c r="N3708" s="420"/>
      <c r="O3708"/>
      <c r="P3708" s="412"/>
      <c r="Q3708" s="391"/>
      <c r="R3708" s="393"/>
    </row>
    <row r="3709" spans="1:21" ht="30" customHeight="1" x14ac:dyDescent="0.25">
      <c r="A3709" s="30" t="s">
        <v>288</v>
      </c>
      <c r="B3709" s="208">
        <v>7514</v>
      </c>
      <c r="C3709" s="209" t="s">
        <v>2359</v>
      </c>
      <c r="D3709" s="210"/>
      <c r="E3709" s="177" t="s">
        <v>291</v>
      </c>
      <c r="F3709" s="178" t="s">
        <v>11</v>
      </c>
      <c r="G3709" s="465" t="s">
        <v>290</v>
      </c>
      <c r="H3709" s="1425">
        <v>1</v>
      </c>
      <c r="I3709" s="177" t="s">
        <v>292</v>
      </c>
      <c r="J3709" s="38" t="s">
        <v>883</v>
      </c>
      <c r="K3709" s="38"/>
      <c r="L3709" s="389"/>
      <c r="M3709" s="502"/>
      <c r="N3709" s="420"/>
      <c r="O3709"/>
      <c r="P3709" s="412"/>
      <c r="Q3709" s="391"/>
      <c r="R3709" s="393"/>
    </row>
    <row r="3710" spans="1:21" ht="30" customHeight="1" x14ac:dyDescent="0.25">
      <c r="A3710" s="48" t="s">
        <v>529</v>
      </c>
      <c r="B3710" s="394" t="s">
        <v>560</v>
      </c>
      <c r="C3710" s="395"/>
      <c r="D3710" s="396"/>
      <c r="E3710" s="397" t="s">
        <v>519</v>
      </c>
      <c r="F3710" s="397" t="s">
        <v>561</v>
      </c>
      <c r="G3710" s="1448" t="s">
        <v>562</v>
      </c>
      <c r="H3710" s="1449"/>
      <c r="I3710" s="181" t="s">
        <v>530</v>
      </c>
      <c r="J3710" s="181"/>
      <c r="K3710" s="493" t="s">
        <v>521</v>
      </c>
      <c r="L3710" s="494"/>
      <c r="M3710" s="341"/>
      <c r="N3710" s="342"/>
      <c r="O3710"/>
      <c r="P3710" s="412"/>
      <c r="Q3710" s="391"/>
      <c r="R3710" s="393"/>
    </row>
    <row r="3711" spans="1:21" s="49" customFormat="1" ht="30" customHeight="1" x14ac:dyDescent="0.25">
      <c r="A3711" s="1334" t="s">
        <v>2360</v>
      </c>
      <c r="B3711" s="186" t="s">
        <v>2361</v>
      </c>
      <c r="C3711" s="186"/>
      <c r="D3711" s="186"/>
      <c r="E3711" s="405">
        <f>+(7000+10200)/2</f>
        <v>8600</v>
      </c>
      <c r="F3711" s="730" t="s">
        <v>2362</v>
      </c>
      <c r="G3711" s="730">
        <v>20</v>
      </c>
      <c r="H3711" s="609" t="s">
        <v>2363</v>
      </c>
      <c r="I3711" s="751">
        <v>1.03</v>
      </c>
      <c r="J3711" s="20"/>
      <c r="K3711" s="405">
        <f>+E3711*G3711*I3711</f>
        <v>177160</v>
      </c>
      <c r="L3711" s="20" t="s">
        <v>11</v>
      </c>
      <c r="M3711" s="341"/>
      <c r="N3711" s="1894"/>
      <c r="P3711" s="412"/>
      <c r="Q3711" s="391"/>
      <c r="R3711" s="393"/>
    </row>
    <row r="3712" spans="1:21" ht="30" customHeight="1" x14ac:dyDescent="0.25">
      <c r="A3712" s="61"/>
      <c r="B3712" s="410"/>
      <c r="C3712" s="410"/>
      <c r="D3712" s="410"/>
      <c r="E3712" s="405"/>
      <c r="F3712" s="338" t="s">
        <v>533</v>
      </c>
      <c r="G3712" s="339" t="s">
        <v>534</v>
      </c>
      <c r="H3712" s="339"/>
      <c r="I3712" s="339"/>
      <c r="J3712" s="339"/>
      <c r="K3712" s="340">
        <v>1.07</v>
      </c>
      <c r="L3712" s="10"/>
      <c r="N3712" s="342"/>
      <c r="O3712"/>
      <c r="P3712" s="412"/>
      <c r="Q3712" s="391"/>
      <c r="R3712" s="393"/>
    </row>
    <row r="3713" spans="1:18" ht="30" customHeight="1" x14ac:dyDescent="0.25">
      <c r="A3713" s="61"/>
      <c r="B3713" s="410"/>
      <c r="C3713" s="410"/>
      <c r="D3713" s="410"/>
      <c r="E3713" s="405"/>
      <c r="F3713" s="343"/>
      <c r="G3713" s="344" t="s">
        <v>535</v>
      </c>
      <c r="H3713" s="344"/>
      <c r="I3713" s="344"/>
      <c r="J3713" s="344"/>
      <c r="K3713" s="340">
        <v>1.02</v>
      </c>
      <c r="L3713" s="10"/>
      <c r="M3713" s="341"/>
      <c r="N3713" s="342"/>
      <c r="O3713"/>
      <c r="P3713" s="412"/>
      <c r="Q3713" s="391"/>
      <c r="R3713" s="393"/>
    </row>
    <row r="3714" spans="1:18" ht="30" customHeight="1" x14ac:dyDescent="0.25">
      <c r="A3714" s="61"/>
      <c r="B3714" s="20"/>
      <c r="C3714" s="18"/>
      <c r="D3714" s="18"/>
      <c r="E3714" s="18"/>
      <c r="F3714" s="18"/>
      <c r="G3714" s="18"/>
      <c r="H3714" s="18"/>
      <c r="I3714" s="18"/>
      <c r="J3714" s="20" t="s">
        <v>358</v>
      </c>
      <c r="K3714" s="23">
        <f>+K3711*K3712/K3713</f>
        <v>185844.31372549021</v>
      </c>
      <c r="L3714" s="20" t="s">
        <v>11</v>
      </c>
      <c r="M3714" s="341"/>
      <c r="N3714" s="342"/>
      <c r="O3714"/>
      <c r="P3714" s="412"/>
      <c r="Q3714" s="391"/>
      <c r="R3714" s="393"/>
    </row>
    <row r="3715" spans="1:18" ht="30" customHeight="1" thickBot="1" x14ac:dyDescent="0.3">
      <c r="A3715" s="61"/>
      <c r="B3715" s="20"/>
      <c r="C3715" s="18"/>
      <c r="D3715" s="18"/>
      <c r="E3715" s="18"/>
      <c r="F3715" s="18"/>
      <c r="G3715" s="413" t="s">
        <v>537</v>
      </c>
      <c r="H3715" s="18"/>
      <c r="I3715" s="18"/>
      <c r="J3715" s="361">
        <f>VLOOKUP(B3709,'Mil Cost Premiums for RUCs'!$A$4:$R$265,18,FALSE)</f>
        <v>1.1199953840399997</v>
      </c>
      <c r="K3715" s="23">
        <f>+K3714*J3715</f>
        <v>208144.7735226306</v>
      </c>
      <c r="L3715" s="20" t="s">
        <v>11</v>
      </c>
      <c r="O3715"/>
      <c r="P3715" s="412"/>
      <c r="Q3715" s="391"/>
      <c r="R3715" s="393"/>
    </row>
    <row r="3716" spans="1:18" ht="30" customHeight="1" thickBot="1" x14ac:dyDescent="0.3">
      <c r="A3716" s="76"/>
      <c r="B3716" s="77"/>
      <c r="C3716" s="77"/>
      <c r="D3716" s="77"/>
      <c r="E3716" s="77"/>
      <c r="F3716" s="77"/>
      <c r="G3716" s="77"/>
      <c r="H3716" s="77"/>
      <c r="I3716" s="77"/>
      <c r="J3716" s="77"/>
      <c r="K3716" s="77"/>
      <c r="L3716" s="78"/>
      <c r="M3716" s="43"/>
      <c r="O3716"/>
      <c r="P3716" s="412"/>
      <c r="Q3716" s="391"/>
      <c r="R3716" s="393"/>
    </row>
    <row r="3717" spans="1:18" ht="30" customHeight="1" x14ac:dyDescent="0.25">
      <c r="A3717" s="30" t="s">
        <v>288</v>
      </c>
      <c r="B3717" s="208">
        <v>7515</v>
      </c>
      <c r="C3717" s="209" t="s">
        <v>2364</v>
      </c>
      <c r="D3717" s="210"/>
      <c r="E3717" s="177" t="s">
        <v>291</v>
      </c>
      <c r="F3717" s="178" t="s">
        <v>11</v>
      </c>
      <c r="G3717" s="465" t="s">
        <v>290</v>
      </c>
      <c r="H3717" s="1425">
        <v>1</v>
      </c>
      <c r="I3717" s="177" t="s">
        <v>292</v>
      </c>
      <c r="J3717" s="38" t="s">
        <v>883</v>
      </c>
      <c r="K3717" s="38"/>
      <c r="L3717" s="389"/>
      <c r="M3717" s="419"/>
      <c r="O3717"/>
      <c r="P3717" s="412"/>
      <c r="Q3717" s="391"/>
      <c r="R3717" s="393"/>
    </row>
    <row r="3718" spans="1:18" ht="30" customHeight="1" x14ac:dyDescent="0.25">
      <c r="A3718" s="48" t="s">
        <v>529</v>
      </c>
      <c r="B3718" s="394" t="s">
        <v>560</v>
      </c>
      <c r="C3718" s="395"/>
      <c r="D3718" s="396"/>
      <c r="E3718" s="397" t="s">
        <v>519</v>
      </c>
      <c r="F3718" s="397" t="s">
        <v>561</v>
      </c>
      <c r="G3718" s="398" t="s">
        <v>562</v>
      </c>
      <c r="H3718" s="399"/>
      <c r="I3718" s="181" t="s">
        <v>530</v>
      </c>
      <c r="J3718" s="181"/>
      <c r="K3718" s="493" t="s">
        <v>521</v>
      </c>
      <c r="L3718" s="494"/>
      <c r="M3718" s="425"/>
      <c r="O3718"/>
      <c r="P3718" s="412"/>
      <c r="Q3718" s="391"/>
      <c r="R3718" s="393"/>
    </row>
    <row r="3719" spans="1:18" ht="30" customHeight="1" x14ac:dyDescent="0.25">
      <c r="A3719" s="1334" t="s">
        <v>2360</v>
      </c>
      <c r="B3719" s="503" t="s">
        <v>2365</v>
      </c>
      <c r="C3719" s="504"/>
      <c r="D3719" s="505"/>
      <c r="E3719" s="405">
        <f>+(38300+54250)/2</f>
        <v>46275</v>
      </c>
      <c r="F3719" s="22" t="s">
        <v>2356</v>
      </c>
      <c r="G3719" s="730">
        <v>9</v>
      </c>
      <c r="H3719" s="649" t="s">
        <v>2357</v>
      </c>
      <c r="I3719" s="751">
        <v>1.03</v>
      </c>
      <c r="J3719" s="20"/>
      <c r="K3719" s="405">
        <f>+E3719*G3719*I3719</f>
        <v>428969.25</v>
      </c>
      <c r="L3719" s="20" t="s">
        <v>11</v>
      </c>
      <c r="M3719" s="419"/>
      <c r="N3719" s="420"/>
      <c r="O3719" s="43"/>
      <c r="P3719" s="672"/>
      <c r="Q3719" s="671"/>
      <c r="R3719" s="673"/>
    </row>
    <row r="3720" spans="1:18" ht="30" customHeight="1" x14ac:dyDescent="0.25">
      <c r="A3720" s="61"/>
      <c r="B3720" s="410"/>
      <c r="C3720" s="410"/>
      <c r="D3720" s="410"/>
      <c r="E3720" s="405"/>
      <c r="F3720" s="338" t="s">
        <v>533</v>
      </c>
      <c r="G3720" s="339" t="s">
        <v>534</v>
      </c>
      <c r="H3720" s="339"/>
      <c r="I3720" s="339"/>
      <c r="J3720" s="339"/>
      <c r="K3720" s="340">
        <v>1.07</v>
      </c>
      <c r="L3720" s="10"/>
      <c r="M3720" s="419"/>
      <c r="N3720" s="420"/>
      <c r="O3720" s="43"/>
      <c r="P3720" s="672"/>
      <c r="Q3720" s="671"/>
      <c r="R3720" s="673"/>
    </row>
    <row r="3721" spans="1:18" ht="30" customHeight="1" x14ac:dyDescent="0.25">
      <c r="A3721" s="61"/>
      <c r="B3721" s="410"/>
      <c r="C3721" s="410"/>
      <c r="D3721" s="410"/>
      <c r="E3721" s="405"/>
      <c r="F3721" s="343"/>
      <c r="G3721" s="344" t="s">
        <v>535</v>
      </c>
      <c r="H3721" s="344"/>
      <c r="I3721" s="344"/>
      <c r="J3721" s="344"/>
      <c r="K3721" s="340">
        <v>1.02</v>
      </c>
      <c r="L3721" s="10"/>
      <c r="M3721" s="419"/>
      <c r="N3721" s="420"/>
      <c r="O3721"/>
      <c r="P3721" s="412"/>
      <c r="Q3721" s="391"/>
      <c r="R3721" s="393"/>
    </row>
    <row r="3722" spans="1:18" ht="30" customHeight="1" x14ac:dyDescent="0.25">
      <c r="A3722" s="1334"/>
      <c r="B3722" s="730"/>
      <c r="C3722" s="1001"/>
      <c r="D3722" s="1450"/>
      <c r="E3722" s="405"/>
      <c r="F3722" s="1112"/>
      <c r="G3722" s="794"/>
      <c r="H3722" s="649"/>
      <c r="I3722" s="649"/>
      <c r="J3722" s="20" t="s">
        <v>358</v>
      </c>
      <c r="K3722" s="23">
        <f>+K3719*K3720/K3721</f>
        <v>449997.15441176476</v>
      </c>
      <c r="L3722" s="20" t="s">
        <v>11</v>
      </c>
      <c r="M3722" s="419"/>
      <c r="N3722" s="420"/>
      <c r="O3722"/>
      <c r="P3722" s="412"/>
      <c r="Q3722" s="391"/>
      <c r="R3722" s="393"/>
    </row>
    <row r="3723" spans="1:18" ht="30" customHeight="1" thickBot="1" x14ac:dyDescent="0.3">
      <c r="A3723" s="61"/>
      <c r="B3723" s="20"/>
      <c r="C3723" s="18"/>
      <c r="D3723" s="18"/>
      <c r="E3723" s="18"/>
      <c r="F3723" s="18"/>
      <c r="G3723" s="413" t="s">
        <v>537</v>
      </c>
      <c r="H3723" s="18"/>
      <c r="I3723" s="18"/>
      <c r="J3723" s="361">
        <f>VLOOKUP(B3717,'Mil Cost Premiums for RUCs'!$A$4:$R$265,18,FALSE)</f>
        <v>1.0905505199999999</v>
      </c>
      <c r="K3723" s="23">
        <f>+K3722*J3723</f>
        <v>490744.63074227027</v>
      </c>
      <c r="L3723" s="20" t="s">
        <v>11</v>
      </c>
      <c r="M3723" s="419"/>
      <c r="N3723" s="420"/>
      <c r="O3723"/>
      <c r="P3723" s="412"/>
      <c r="Q3723" s="391"/>
      <c r="R3723" s="393"/>
    </row>
    <row r="3724" spans="1:18" ht="30" customHeight="1" thickBot="1" x14ac:dyDescent="0.3">
      <c r="A3724" s="76"/>
      <c r="B3724" s="77"/>
      <c r="C3724" s="77"/>
      <c r="D3724" s="77"/>
      <c r="E3724" s="77"/>
      <c r="F3724" s="77"/>
      <c r="G3724" s="77"/>
      <c r="H3724" s="77"/>
      <c r="I3724" s="77"/>
      <c r="J3724" s="77"/>
      <c r="K3724" s="77"/>
      <c r="L3724" s="78"/>
      <c r="M3724" s="419"/>
      <c r="N3724" s="420"/>
      <c r="O3724"/>
      <c r="P3724" s="412"/>
      <c r="Q3724" s="391"/>
      <c r="R3724" s="393"/>
    </row>
    <row r="3725" spans="1:18" s="49" customFormat="1" ht="30" customHeight="1" x14ac:dyDescent="0.25">
      <c r="A3725" s="30" t="s">
        <v>288</v>
      </c>
      <c r="B3725" s="208">
        <v>7517</v>
      </c>
      <c r="C3725" s="209" t="s">
        <v>2366</v>
      </c>
      <c r="D3725" s="210"/>
      <c r="E3725" s="177" t="s">
        <v>291</v>
      </c>
      <c r="F3725" s="178" t="s">
        <v>11</v>
      </c>
      <c r="G3725" s="465" t="s">
        <v>290</v>
      </c>
      <c r="H3725" s="1425">
        <v>1</v>
      </c>
      <c r="I3725" s="177" t="s">
        <v>292</v>
      </c>
      <c r="J3725" s="38" t="s">
        <v>883</v>
      </c>
      <c r="K3725" s="38"/>
      <c r="L3725" s="389"/>
      <c r="M3725" s="419"/>
      <c r="N3725" s="420"/>
      <c r="P3725" s="412"/>
      <c r="Q3725" s="391"/>
      <c r="R3725" s="393"/>
    </row>
    <row r="3726" spans="1:18" ht="30" customHeight="1" x14ac:dyDescent="0.25">
      <c r="A3726" s="48" t="s">
        <v>529</v>
      </c>
      <c r="B3726" s="394" t="s">
        <v>560</v>
      </c>
      <c r="C3726" s="395"/>
      <c r="D3726" s="396"/>
      <c r="E3726" s="397" t="s">
        <v>519</v>
      </c>
      <c r="F3726" s="397" t="s">
        <v>561</v>
      </c>
      <c r="G3726" s="398" t="s">
        <v>562</v>
      </c>
      <c r="H3726" s="399"/>
      <c r="I3726" s="181" t="s">
        <v>530</v>
      </c>
      <c r="J3726" s="181"/>
      <c r="K3726" s="493" t="s">
        <v>521</v>
      </c>
      <c r="L3726" s="494"/>
      <c r="M3726" s="670"/>
      <c r="N3726" s="420"/>
      <c r="O3726"/>
      <c r="P3726" s="412"/>
      <c r="Q3726" s="391"/>
      <c r="R3726" s="393"/>
    </row>
    <row r="3727" spans="1:18" ht="30" customHeight="1" x14ac:dyDescent="0.25">
      <c r="A3727" s="48"/>
      <c r="B3727" s="503" t="s">
        <v>2367</v>
      </c>
      <c r="C3727" s="504"/>
      <c r="D3727" s="505"/>
      <c r="E3727" s="397"/>
      <c r="F3727" s="397"/>
      <c r="G3727" s="774"/>
      <c r="H3727" s="775"/>
      <c r="I3727" s="599"/>
      <c r="J3727" s="599"/>
      <c r="K3727" s="397"/>
      <c r="L3727" s="397"/>
      <c r="M3727" s="670"/>
      <c r="N3727" s="420"/>
      <c r="O3727"/>
      <c r="P3727" s="412"/>
      <c r="Q3727" s="391"/>
      <c r="R3727" s="393"/>
    </row>
    <row r="3728" spans="1:18" ht="30" customHeight="1" x14ac:dyDescent="0.25">
      <c r="A3728" s="1334" t="s">
        <v>531</v>
      </c>
      <c r="B3728" s="402" t="s">
        <v>2368</v>
      </c>
      <c r="C3728" s="403"/>
      <c r="D3728" s="404"/>
      <c r="E3728" s="405">
        <f>+(26.75+42.75)/2</f>
        <v>34.75</v>
      </c>
      <c r="F3728" s="22" t="s">
        <v>9</v>
      </c>
      <c r="G3728" s="730">
        <v>240</v>
      </c>
      <c r="H3728" s="649" t="s">
        <v>887</v>
      </c>
      <c r="I3728" s="751">
        <v>1.04</v>
      </c>
      <c r="J3728" s="20"/>
      <c r="K3728" s="405">
        <f>+E3728*G3728*I3728</f>
        <v>8673.6</v>
      </c>
      <c r="L3728" s="20" t="s">
        <v>11</v>
      </c>
      <c r="M3728" s="419"/>
      <c r="N3728" s="671"/>
      <c r="O3728"/>
      <c r="P3728" s="412"/>
      <c r="Q3728" s="391"/>
      <c r="R3728" s="393"/>
    </row>
    <row r="3729" spans="1:18" ht="30" customHeight="1" x14ac:dyDescent="0.25">
      <c r="A3729" s="61"/>
      <c r="B3729" s="410"/>
      <c r="C3729" s="410"/>
      <c r="D3729" s="410"/>
      <c r="E3729" s="405"/>
      <c r="F3729" s="338" t="s">
        <v>533</v>
      </c>
      <c r="G3729" s="339" t="s">
        <v>534</v>
      </c>
      <c r="H3729" s="339"/>
      <c r="I3729" s="339"/>
      <c r="J3729" s="339"/>
      <c r="K3729" s="340">
        <v>1.07</v>
      </c>
      <c r="L3729" s="10"/>
      <c r="M3729" s="419"/>
      <c r="N3729" s="671"/>
      <c r="O3729"/>
      <c r="P3729" s="412"/>
      <c r="Q3729" s="391"/>
      <c r="R3729" s="393"/>
    </row>
    <row r="3730" spans="1:18" ht="30" customHeight="1" x14ac:dyDescent="0.25">
      <c r="A3730" s="61"/>
      <c r="B3730" s="410"/>
      <c r="C3730" s="410"/>
      <c r="D3730" s="410"/>
      <c r="E3730" s="405"/>
      <c r="F3730" s="343"/>
      <c r="G3730" s="344" t="s">
        <v>535</v>
      </c>
      <c r="H3730" s="344"/>
      <c r="I3730" s="344"/>
      <c r="J3730" s="344"/>
      <c r="K3730" s="340">
        <v>1.02</v>
      </c>
      <c r="L3730" s="10"/>
      <c r="M3730" s="419"/>
      <c r="N3730" s="420"/>
      <c r="O3730" s="43"/>
      <c r="P3730" s="672"/>
      <c r="Q3730" s="671"/>
      <c r="R3730" s="673"/>
    </row>
    <row r="3731" spans="1:18" ht="30" customHeight="1" x14ac:dyDescent="0.25">
      <c r="A3731" s="1334"/>
      <c r="B3731" s="730"/>
      <c r="C3731" s="1001"/>
      <c r="D3731" s="1450"/>
      <c r="E3731" s="405"/>
      <c r="F3731" s="1112"/>
      <c r="G3731" s="794"/>
      <c r="H3731" s="649"/>
      <c r="I3731" s="649"/>
      <c r="J3731" s="20" t="s">
        <v>358</v>
      </c>
      <c r="K3731" s="23">
        <f>+K3728*K3729/K3730</f>
        <v>9098.7764705882364</v>
      </c>
      <c r="L3731" s="20" t="s">
        <v>11</v>
      </c>
      <c r="M3731" s="419"/>
      <c r="N3731" s="420"/>
      <c r="O3731" s="43"/>
      <c r="P3731" s="672"/>
      <c r="Q3731" s="671"/>
      <c r="R3731" s="673"/>
    </row>
    <row r="3732" spans="1:18" ht="30" customHeight="1" thickBot="1" x14ac:dyDescent="0.3">
      <c r="A3732" s="61"/>
      <c r="B3732" s="20"/>
      <c r="C3732" s="18"/>
      <c r="D3732" s="18"/>
      <c r="E3732" s="18"/>
      <c r="F3732" s="18"/>
      <c r="G3732" s="413" t="s">
        <v>537</v>
      </c>
      <c r="H3732" s="18"/>
      <c r="I3732" s="18"/>
      <c r="J3732" s="361">
        <f>VLOOKUP(B3725,'Mil Cost Premiums for RUCs'!$A$4:$R$265,18,FALSE)</f>
        <v>1.0209999999999999</v>
      </c>
      <c r="K3732" s="23">
        <f>+K3731*J3732</f>
        <v>9289.8507764705882</v>
      </c>
      <c r="L3732" s="20" t="s">
        <v>11</v>
      </c>
      <c r="M3732" s="425"/>
      <c r="N3732" s="420"/>
      <c r="O3732"/>
      <c r="P3732" s="412"/>
      <c r="Q3732" s="391"/>
      <c r="R3732" s="393"/>
    </row>
    <row r="3733" spans="1:18" ht="30" customHeight="1" thickBot="1" x14ac:dyDescent="0.3">
      <c r="A3733" s="76"/>
      <c r="B3733" s="77"/>
      <c r="C3733" s="77"/>
      <c r="D3733" s="77"/>
      <c r="E3733" s="77"/>
      <c r="F3733" s="77"/>
      <c r="G3733" s="77"/>
      <c r="H3733" s="77"/>
      <c r="I3733" s="77"/>
      <c r="J3733" s="77"/>
      <c r="K3733" s="77"/>
      <c r="L3733" s="78"/>
      <c r="M3733" s="419"/>
      <c r="N3733" s="420"/>
      <c r="O3733"/>
      <c r="P3733" s="412"/>
      <c r="Q3733" s="391"/>
      <c r="R3733" s="393"/>
    </row>
    <row r="3734" spans="1:18" ht="30" customHeight="1" x14ac:dyDescent="0.25">
      <c r="A3734" s="30" t="s">
        <v>288</v>
      </c>
      <c r="B3734" s="208">
        <v>7518</v>
      </c>
      <c r="C3734" s="209" t="s">
        <v>2369</v>
      </c>
      <c r="D3734" s="210"/>
      <c r="E3734" s="177" t="s">
        <v>291</v>
      </c>
      <c r="F3734" s="178" t="s">
        <v>11</v>
      </c>
      <c r="G3734" s="465" t="s">
        <v>290</v>
      </c>
      <c r="H3734" s="1425">
        <v>1</v>
      </c>
      <c r="I3734" s="177" t="s">
        <v>292</v>
      </c>
      <c r="J3734" s="38" t="s">
        <v>883</v>
      </c>
      <c r="K3734" s="38"/>
      <c r="L3734" s="389"/>
      <c r="M3734" s="419"/>
      <c r="N3734" s="420"/>
      <c r="O3734"/>
      <c r="P3734" s="412"/>
      <c r="Q3734" s="391"/>
      <c r="R3734" s="393"/>
    </row>
    <row r="3735" spans="1:18" ht="30" customHeight="1" x14ac:dyDescent="0.25">
      <c r="A3735" s="48" t="s">
        <v>529</v>
      </c>
      <c r="B3735" s="394" t="s">
        <v>560</v>
      </c>
      <c r="C3735" s="395"/>
      <c r="D3735" s="396"/>
      <c r="E3735" s="397" t="s">
        <v>519</v>
      </c>
      <c r="F3735" s="397" t="s">
        <v>561</v>
      </c>
      <c r="G3735" s="398" t="s">
        <v>562</v>
      </c>
      <c r="H3735" s="399"/>
      <c r="I3735" s="181" t="s">
        <v>530</v>
      </c>
      <c r="J3735" s="181"/>
      <c r="K3735" s="493" t="s">
        <v>521</v>
      </c>
      <c r="L3735" s="494"/>
      <c r="M3735" s="419"/>
      <c r="N3735" s="420"/>
      <c r="O3735"/>
      <c r="P3735" s="412"/>
      <c r="Q3735" s="391"/>
      <c r="R3735" s="393"/>
    </row>
    <row r="3736" spans="1:18" s="49" customFormat="1" ht="30" customHeight="1" x14ac:dyDescent="0.25">
      <c r="A3736" s="48"/>
      <c r="B3736" s="402" t="s">
        <v>2370</v>
      </c>
      <c r="C3736" s="403"/>
      <c r="D3736" s="404"/>
      <c r="E3736" s="397"/>
      <c r="F3736" s="397"/>
      <c r="G3736" s="774"/>
      <c r="H3736" s="775"/>
      <c r="I3736" s="599"/>
      <c r="J3736" s="599"/>
      <c r="K3736" s="397"/>
      <c r="L3736" s="397"/>
      <c r="M3736" s="419"/>
      <c r="N3736" s="420"/>
      <c r="P3736" s="412"/>
      <c r="Q3736" s="391"/>
      <c r="R3736" s="393"/>
    </row>
    <row r="3737" spans="1:18" ht="30" customHeight="1" x14ac:dyDescent="0.25">
      <c r="A3737" s="1334" t="s">
        <v>531</v>
      </c>
      <c r="B3737" s="503" t="s">
        <v>2371</v>
      </c>
      <c r="C3737" s="504"/>
      <c r="D3737" s="505"/>
      <c r="E3737" s="405">
        <f>+(6250+11500)/2</f>
        <v>8875</v>
      </c>
      <c r="F3737" s="22" t="s">
        <v>9</v>
      </c>
      <c r="G3737" s="730">
        <v>90</v>
      </c>
      <c r="H3737" s="649" t="s">
        <v>2372</v>
      </c>
      <c r="I3737" s="751">
        <v>1.03</v>
      </c>
      <c r="J3737" s="20"/>
      <c r="K3737" s="405">
        <f>+E3737*G3737*I3737</f>
        <v>822712.5</v>
      </c>
      <c r="L3737" s="20" t="s">
        <v>11</v>
      </c>
      <c r="M3737" s="670"/>
      <c r="N3737" s="420"/>
      <c r="O3737"/>
      <c r="P3737" s="412"/>
      <c r="Q3737" s="391"/>
      <c r="R3737" s="393"/>
    </row>
    <row r="3738" spans="1:18" ht="30" customHeight="1" x14ac:dyDescent="0.25">
      <c r="A3738" s="61"/>
      <c r="B3738" s="410"/>
      <c r="C3738" s="410"/>
      <c r="D3738" s="410"/>
      <c r="E3738" s="405"/>
      <c r="F3738" s="338" t="s">
        <v>533</v>
      </c>
      <c r="G3738" s="339" t="s">
        <v>534</v>
      </c>
      <c r="H3738" s="339"/>
      <c r="I3738" s="339"/>
      <c r="J3738" s="339"/>
      <c r="K3738" s="340">
        <v>1.07</v>
      </c>
      <c r="L3738" s="10"/>
      <c r="M3738" s="670"/>
      <c r="N3738" s="420"/>
      <c r="O3738" s="43"/>
      <c r="P3738" s="672"/>
      <c r="Q3738" s="671"/>
      <c r="R3738" s="673"/>
    </row>
    <row r="3739" spans="1:18" ht="30" customHeight="1" x14ac:dyDescent="0.25">
      <c r="A3739" s="61"/>
      <c r="B3739" s="410"/>
      <c r="C3739" s="410"/>
      <c r="D3739" s="410"/>
      <c r="E3739" s="405"/>
      <c r="F3739" s="343"/>
      <c r="G3739" s="344" t="s">
        <v>535</v>
      </c>
      <c r="H3739" s="344"/>
      <c r="I3739" s="344"/>
      <c r="J3739" s="344"/>
      <c r="K3739" s="340">
        <v>1.02</v>
      </c>
      <c r="L3739" s="10"/>
      <c r="M3739" s="419"/>
      <c r="N3739" s="671"/>
      <c r="O3739" s="43"/>
      <c r="P3739" s="672"/>
      <c r="Q3739" s="671"/>
      <c r="R3739" s="673"/>
    </row>
    <row r="3740" spans="1:18" ht="30" customHeight="1" x14ac:dyDescent="0.25">
      <c r="A3740" s="1334"/>
      <c r="B3740" s="730"/>
      <c r="C3740" s="1001"/>
      <c r="D3740" s="1450"/>
      <c r="E3740" s="405"/>
      <c r="F3740" s="1112"/>
      <c r="G3740" s="794"/>
      <c r="H3740" s="649"/>
      <c r="I3740" s="20"/>
      <c r="J3740" s="18" t="s">
        <v>358</v>
      </c>
      <c r="K3740" s="23">
        <f>+K3737*K3738/K3739</f>
        <v>863041.54411764699</v>
      </c>
      <c r="L3740" s="20" t="s">
        <v>11</v>
      </c>
      <c r="M3740" s="419"/>
      <c r="N3740" s="671"/>
      <c r="O3740"/>
      <c r="P3740" s="412"/>
      <c r="Q3740" s="391"/>
      <c r="R3740" s="393"/>
    </row>
    <row r="3741" spans="1:18" ht="30" customHeight="1" thickBot="1" x14ac:dyDescent="0.3">
      <c r="A3741" s="61"/>
      <c r="B3741" s="20"/>
      <c r="C3741" s="18"/>
      <c r="D3741" s="18"/>
      <c r="E3741" s="18"/>
      <c r="F3741" s="18"/>
      <c r="G3741" s="413" t="s">
        <v>537</v>
      </c>
      <c r="H3741" s="18"/>
      <c r="I3741" s="18"/>
      <c r="J3741" s="361">
        <f>VLOOKUP(B3734,'Mil Cost Premiums for RUCs'!$A$4:$R$265,18,FALSE)</f>
        <v>1.1199953840399997</v>
      </c>
      <c r="K3741" s="23">
        <f>+K3740*J3741</f>
        <v>966602.54564651835</v>
      </c>
      <c r="L3741" s="20" t="s">
        <v>11</v>
      </c>
      <c r="M3741" s="419"/>
      <c r="N3741" s="420"/>
      <c r="O3741"/>
      <c r="P3741" s="412"/>
      <c r="Q3741" s="391"/>
      <c r="R3741" s="393"/>
    </row>
    <row r="3742" spans="1:18" ht="30" customHeight="1" thickBot="1" x14ac:dyDescent="0.3">
      <c r="A3742" s="76"/>
      <c r="B3742" s="77"/>
      <c r="C3742" s="77"/>
      <c r="D3742" s="77"/>
      <c r="E3742" s="77"/>
      <c r="F3742" s="77"/>
      <c r="G3742" s="77"/>
      <c r="H3742" s="77"/>
      <c r="I3742" s="77"/>
      <c r="J3742" s="77"/>
      <c r="K3742" s="77"/>
      <c r="L3742" s="78"/>
      <c r="M3742" s="419"/>
      <c r="N3742" s="420"/>
      <c r="O3742"/>
      <c r="P3742" s="412"/>
      <c r="Q3742" s="391"/>
      <c r="R3742" s="393"/>
    </row>
    <row r="3743" spans="1:18" ht="30" customHeight="1" x14ac:dyDescent="0.25">
      <c r="A3743" s="30" t="s">
        <v>288</v>
      </c>
      <c r="B3743" s="208">
        <v>7521</v>
      </c>
      <c r="C3743" s="209" t="s">
        <v>2373</v>
      </c>
      <c r="D3743" s="210"/>
      <c r="E3743" s="177" t="s">
        <v>291</v>
      </c>
      <c r="F3743" s="178" t="s">
        <v>11</v>
      </c>
      <c r="G3743" s="465" t="s">
        <v>290</v>
      </c>
      <c r="H3743" s="1425">
        <v>1</v>
      </c>
      <c r="I3743" s="177" t="s">
        <v>292</v>
      </c>
      <c r="J3743" s="38" t="s">
        <v>883</v>
      </c>
      <c r="K3743" s="38"/>
      <c r="L3743" s="389"/>
      <c r="M3743" s="425"/>
      <c r="N3743" s="420"/>
      <c r="O3743"/>
      <c r="P3743" s="412"/>
      <c r="Q3743" s="391"/>
      <c r="R3743" s="393"/>
    </row>
    <row r="3744" spans="1:18" s="49" customFormat="1" ht="30" customHeight="1" x14ac:dyDescent="0.25">
      <c r="A3744" s="48" t="s">
        <v>529</v>
      </c>
      <c r="B3744" s="394" t="s">
        <v>560</v>
      </c>
      <c r="C3744" s="395"/>
      <c r="D3744" s="396"/>
      <c r="E3744" s="397" t="s">
        <v>519</v>
      </c>
      <c r="F3744" s="397" t="s">
        <v>561</v>
      </c>
      <c r="G3744" s="398" t="s">
        <v>562</v>
      </c>
      <c r="H3744" s="399"/>
      <c r="I3744" s="181" t="s">
        <v>530</v>
      </c>
      <c r="J3744" s="181"/>
      <c r="K3744" s="493" t="s">
        <v>521</v>
      </c>
      <c r="L3744" s="494"/>
      <c r="M3744" s="419"/>
      <c r="N3744" s="420"/>
      <c r="P3744" s="412"/>
      <c r="Q3744" s="391"/>
      <c r="R3744" s="393"/>
    </row>
    <row r="3745" spans="1:18" ht="30" customHeight="1" x14ac:dyDescent="0.25">
      <c r="A3745" s="48"/>
      <c r="B3745" s="503" t="s">
        <v>2374</v>
      </c>
      <c r="C3745" s="504"/>
      <c r="D3745" s="505"/>
      <c r="E3745" s="397"/>
      <c r="F3745" s="397"/>
      <c r="G3745" s="774"/>
      <c r="H3745" s="775"/>
      <c r="I3745" s="599"/>
      <c r="J3745" s="599"/>
      <c r="K3745" s="397"/>
      <c r="L3745" s="397"/>
      <c r="M3745" s="670"/>
      <c r="N3745" s="420"/>
      <c r="O3745"/>
      <c r="P3745" s="412"/>
      <c r="Q3745" s="391"/>
      <c r="R3745" s="393"/>
    </row>
    <row r="3746" spans="1:18" ht="30" customHeight="1" x14ac:dyDescent="0.25">
      <c r="A3746" s="61" t="s">
        <v>2375</v>
      </c>
      <c r="B3746" s="503" t="s">
        <v>2376</v>
      </c>
      <c r="C3746" s="504"/>
      <c r="D3746" s="505"/>
      <c r="E3746" s="776">
        <f>+(33600+52000)/2</f>
        <v>42800</v>
      </c>
      <c r="F3746" s="22" t="s">
        <v>11</v>
      </c>
      <c r="G3746" s="730"/>
      <c r="H3746" s="649"/>
      <c r="I3746" s="751">
        <v>1.03</v>
      </c>
      <c r="J3746" s="20"/>
      <c r="K3746" s="776">
        <f>+E3746*I3746</f>
        <v>44084</v>
      </c>
      <c r="L3746" s="22" t="s">
        <v>11</v>
      </c>
      <c r="M3746" s="670"/>
      <c r="N3746" s="420"/>
      <c r="O3746" s="43"/>
      <c r="P3746" s="672"/>
      <c r="Q3746" s="671"/>
      <c r="R3746" s="673"/>
    </row>
    <row r="3747" spans="1:18" ht="30" customHeight="1" x14ac:dyDescent="0.25">
      <c r="A3747" s="61" t="s">
        <v>2375</v>
      </c>
      <c r="B3747" s="523" t="s">
        <v>2377</v>
      </c>
      <c r="C3747" s="524"/>
      <c r="D3747" s="407"/>
      <c r="E3747" s="776">
        <f>+(10700+14700)/2</f>
        <v>12700</v>
      </c>
      <c r="F3747" s="22" t="s">
        <v>11</v>
      </c>
      <c r="G3747" s="1451">
        <v>0.5</v>
      </c>
      <c r="H3747" s="649"/>
      <c r="I3747" s="751">
        <v>1.03</v>
      </c>
      <c r="J3747" s="20"/>
      <c r="K3747" s="776">
        <f>+I3747*G3747*E3747</f>
        <v>6540.5</v>
      </c>
      <c r="L3747" s="22" t="s">
        <v>11</v>
      </c>
      <c r="M3747" s="419"/>
      <c r="N3747" s="671"/>
      <c r="O3747" s="43"/>
      <c r="P3747" s="672"/>
      <c r="Q3747" s="671"/>
      <c r="R3747" s="673"/>
    </row>
    <row r="3748" spans="1:18" ht="30" customHeight="1" x14ac:dyDescent="0.25">
      <c r="A3748" s="61" t="s">
        <v>2375</v>
      </c>
      <c r="B3748" s="503" t="s">
        <v>2378</v>
      </c>
      <c r="C3748" s="504"/>
      <c r="D3748" s="505"/>
      <c r="E3748" s="776">
        <f>+(9150+13600)/2</f>
        <v>11375</v>
      </c>
      <c r="F3748" s="22" t="s">
        <v>11</v>
      </c>
      <c r="G3748" s="730"/>
      <c r="H3748" s="649"/>
      <c r="I3748" s="751">
        <v>1.03</v>
      </c>
      <c r="J3748" s="20"/>
      <c r="K3748" s="776">
        <f>+E3748*I3748</f>
        <v>11716.25</v>
      </c>
      <c r="L3748" s="22" t="s">
        <v>11</v>
      </c>
      <c r="M3748" s="419"/>
      <c r="N3748" s="671"/>
      <c r="O3748"/>
      <c r="P3748" s="412"/>
      <c r="Q3748" s="391"/>
      <c r="R3748" s="393"/>
    </row>
    <row r="3749" spans="1:18" ht="30" customHeight="1" x14ac:dyDescent="0.25">
      <c r="A3749" s="1336"/>
      <c r="B3749" s="503" t="s">
        <v>2379</v>
      </c>
      <c r="C3749" s="504"/>
      <c r="D3749" s="505"/>
      <c r="E3749" s="776"/>
      <c r="F3749" s="22"/>
      <c r="G3749" s="730"/>
      <c r="H3749" s="649"/>
      <c r="I3749" s="20"/>
      <c r="J3749" s="20" t="s">
        <v>578</v>
      </c>
      <c r="K3749" s="776">
        <f>SUM(K3746:K3748)</f>
        <v>62340.75</v>
      </c>
      <c r="L3749" s="22" t="s">
        <v>11</v>
      </c>
      <c r="M3749" s="419"/>
      <c r="N3749" s="420"/>
      <c r="O3749"/>
      <c r="P3749" s="412"/>
      <c r="Q3749" s="391"/>
      <c r="R3749" s="393"/>
    </row>
    <row r="3750" spans="1:18" ht="30" customHeight="1" x14ac:dyDescent="0.25">
      <c r="A3750" s="61" t="s">
        <v>2227</v>
      </c>
      <c r="B3750" s="503" t="s">
        <v>2380</v>
      </c>
      <c r="C3750" s="504"/>
      <c r="D3750" s="505"/>
      <c r="E3750" s="776">
        <f>+(9.86+14.85)/2</f>
        <v>12.355</v>
      </c>
      <c r="F3750" s="22" t="s">
        <v>9</v>
      </c>
      <c r="G3750" s="777">
        <v>7980</v>
      </c>
      <c r="H3750" s="649" t="s">
        <v>887</v>
      </c>
      <c r="I3750" s="751">
        <v>1.03</v>
      </c>
      <c r="J3750" s="20"/>
      <c r="K3750" s="776">
        <f>+I3750*G3750*E3750</f>
        <v>101550.68700000001</v>
      </c>
      <c r="L3750" s="22" t="s">
        <v>11</v>
      </c>
      <c r="M3750" s="1452"/>
      <c r="N3750" s="420"/>
      <c r="O3750"/>
      <c r="P3750" s="412"/>
      <c r="Q3750" s="391"/>
      <c r="R3750" s="393"/>
    </row>
    <row r="3751" spans="1:18" ht="30" customHeight="1" x14ac:dyDescent="0.25">
      <c r="A3751" s="61" t="s">
        <v>2226</v>
      </c>
      <c r="B3751" s="503" t="s">
        <v>2381</v>
      </c>
      <c r="C3751" s="504"/>
      <c r="D3751" s="505"/>
      <c r="E3751" s="776">
        <f>+(1110+3300)/2</f>
        <v>2205</v>
      </c>
      <c r="F3751" s="22" t="s">
        <v>11</v>
      </c>
      <c r="G3751" s="730">
        <v>2</v>
      </c>
      <c r="H3751" s="649" t="s">
        <v>2382</v>
      </c>
      <c r="I3751" s="751">
        <v>1.04</v>
      </c>
      <c r="J3751" s="20"/>
      <c r="K3751" s="776">
        <f>+I3751*G3751*E3751</f>
        <v>4586.4000000000005</v>
      </c>
      <c r="L3751" s="22" t="s">
        <v>11</v>
      </c>
      <c r="M3751" s="425"/>
      <c r="N3751" s="420"/>
      <c r="O3751"/>
      <c r="P3751" s="412"/>
      <c r="Q3751" s="391"/>
      <c r="R3751" s="393"/>
    </row>
    <row r="3752" spans="1:18" s="49" customFormat="1" ht="30" customHeight="1" x14ac:dyDescent="0.25">
      <c r="A3752" s="61"/>
      <c r="B3752" s="402" t="s">
        <v>2383</v>
      </c>
      <c r="C3752" s="403"/>
      <c r="D3752" s="404"/>
      <c r="E3752" s="776"/>
      <c r="F3752" s="1112"/>
      <c r="G3752" s="730"/>
      <c r="H3752" s="649"/>
      <c r="I3752" s="649"/>
      <c r="J3752" s="20" t="s">
        <v>578</v>
      </c>
      <c r="K3752" s="776">
        <f>(SUM(K3750:K3751)*2)*0.95</f>
        <v>201660.46529999998</v>
      </c>
      <c r="L3752" s="22" t="s">
        <v>11</v>
      </c>
      <c r="M3752" s="419"/>
      <c r="N3752" s="420"/>
      <c r="P3752" s="412"/>
      <c r="Q3752" s="391"/>
      <c r="R3752" s="393"/>
    </row>
    <row r="3753" spans="1:18" ht="30" customHeight="1" x14ac:dyDescent="0.25">
      <c r="A3753" s="1334"/>
      <c r="B3753" s="186"/>
      <c r="C3753" s="186"/>
      <c r="D3753" s="186"/>
      <c r="E3753" s="405"/>
      <c r="F3753" s="20"/>
      <c r="G3753" s="522"/>
      <c r="H3753" s="20"/>
      <c r="I3753" s="20"/>
      <c r="J3753" s="20" t="s">
        <v>536</v>
      </c>
      <c r="K3753" s="780">
        <f>(+K3749+K3752)/2</f>
        <v>132000.60764999999</v>
      </c>
      <c r="L3753" s="20" t="s">
        <v>11</v>
      </c>
      <c r="M3753" s="670"/>
      <c r="N3753" s="420"/>
      <c r="O3753"/>
      <c r="P3753" s="412"/>
      <c r="Q3753" s="391"/>
      <c r="R3753" s="393"/>
    </row>
    <row r="3754" spans="1:18" ht="30" customHeight="1" x14ac:dyDescent="0.25">
      <c r="A3754" s="61"/>
      <c r="B3754" s="410"/>
      <c r="C3754" s="410"/>
      <c r="D3754" s="410"/>
      <c r="E3754" s="405"/>
      <c r="F3754" s="338" t="s">
        <v>533</v>
      </c>
      <c r="G3754" s="339" t="s">
        <v>534</v>
      </c>
      <c r="H3754" s="339"/>
      <c r="I3754" s="339"/>
      <c r="J3754" s="339"/>
      <c r="K3754" s="340">
        <v>1.07</v>
      </c>
      <c r="L3754" s="10"/>
      <c r="M3754" s="670"/>
      <c r="N3754" s="420"/>
      <c r="O3754"/>
      <c r="P3754" s="412"/>
      <c r="Q3754" s="391"/>
      <c r="R3754" s="393"/>
    </row>
    <row r="3755" spans="1:18" ht="30" customHeight="1" x14ac:dyDescent="0.25">
      <c r="A3755" s="61"/>
      <c r="B3755" s="410"/>
      <c r="C3755" s="410"/>
      <c r="D3755" s="410"/>
      <c r="E3755" s="405"/>
      <c r="F3755" s="343"/>
      <c r="G3755" s="344" t="s">
        <v>535</v>
      </c>
      <c r="H3755" s="344"/>
      <c r="I3755" s="344"/>
      <c r="J3755" s="344"/>
      <c r="K3755" s="340">
        <v>1.02</v>
      </c>
      <c r="L3755" s="10"/>
      <c r="M3755" s="419"/>
      <c r="N3755" s="671"/>
      <c r="O3755" s="43"/>
      <c r="P3755" s="672"/>
      <c r="Q3755" s="671"/>
      <c r="R3755" s="673"/>
    </row>
    <row r="3756" spans="1:18" ht="30" customHeight="1" x14ac:dyDescent="0.25">
      <c r="A3756" s="61"/>
      <c r="B3756" s="20"/>
      <c r="C3756" s="18"/>
      <c r="D3756" s="18"/>
      <c r="E3756" s="18"/>
      <c r="F3756" s="18"/>
      <c r="G3756" s="18"/>
      <c r="H3756" s="18"/>
      <c r="I3756" s="18"/>
      <c r="J3756" s="20" t="s">
        <v>358</v>
      </c>
      <c r="K3756" s="781">
        <f>+K3753*K3754/K3755</f>
        <v>138471.22567205882</v>
      </c>
      <c r="L3756" s="20" t="s">
        <v>11</v>
      </c>
      <c r="M3756" s="419"/>
      <c r="N3756" s="671"/>
      <c r="O3756" s="43"/>
      <c r="P3756" s="672"/>
      <c r="Q3756" s="671"/>
      <c r="R3756" s="673"/>
    </row>
    <row r="3757" spans="1:18" ht="30" customHeight="1" thickBot="1" x14ac:dyDescent="0.3">
      <c r="A3757" s="61"/>
      <c r="B3757" s="20"/>
      <c r="C3757" s="18"/>
      <c r="D3757" s="18"/>
      <c r="E3757" s="18"/>
      <c r="F3757" s="18"/>
      <c r="G3757" s="413" t="s">
        <v>537</v>
      </c>
      <c r="H3757" s="18"/>
      <c r="I3757" s="18"/>
      <c r="J3757" s="361">
        <f>VLOOKUP(B3743,'Mil Cost Premiums for RUCs'!$A$4:$R$265,18,FALSE)</f>
        <v>1.0209999999999999</v>
      </c>
      <c r="K3757" s="23">
        <f>+K3756*J3757</f>
        <v>141379.12141117203</v>
      </c>
      <c r="L3757" s="20" t="s">
        <v>11</v>
      </c>
      <c r="M3757" s="419"/>
      <c r="N3757" s="420"/>
      <c r="O3757"/>
      <c r="P3757" s="412"/>
      <c r="Q3757" s="391"/>
      <c r="R3757" s="393"/>
    </row>
    <row r="3758" spans="1:18" ht="30" customHeight="1" thickBot="1" x14ac:dyDescent="0.3">
      <c r="A3758" s="76"/>
      <c r="B3758" s="77"/>
      <c r="C3758" s="77"/>
      <c r="D3758" s="77"/>
      <c r="E3758" s="77"/>
      <c r="F3758" s="77"/>
      <c r="G3758" s="77"/>
      <c r="H3758" s="77"/>
      <c r="I3758" s="77"/>
      <c r="J3758" s="77"/>
      <c r="K3758" s="77"/>
      <c r="L3758" s="78"/>
      <c r="M3758" s="419"/>
      <c r="N3758" s="420"/>
      <c r="O3758"/>
      <c r="P3758" s="412"/>
      <c r="Q3758" s="391"/>
      <c r="R3758" s="393"/>
    </row>
    <row r="3759" spans="1:18" ht="30" customHeight="1" x14ac:dyDescent="0.25">
      <c r="A3759" s="207" t="s">
        <v>288</v>
      </c>
      <c r="B3759" s="208">
        <v>7522</v>
      </c>
      <c r="C3759" s="282" t="s">
        <v>2384</v>
      </c>
      <c r="D3759" s="283"/>
      <c r="E3759" s="177" t="s">
        <v>291</v>
      </c>
      <c r="F3759" s="178" t="s">
        <v>11</v>
      </c>
      <c r="G3759" s="250" t="s">
        <v>2385</v>
      </c>
      <c r="H3759" s="302">
        <v>1</v>
      </c>
      <c r="I3759" s="177" t="s">
        <v>292</v>
      </c>
      <c r="J3759" s="38" t="s">
        <v>623</v>
      </c>
      <c r="K3759" s="39"/>
      <c r="L3759" s="40"/>
      <c r="M3759" s="1452"/>
      <c r="N3759" s="420"/>
      <c r="O3759"/>
      <c r="P3759" s="412"/>
      <c r="Q3759" s="391"/>
      <c r="R3759" s="393"/>
    </row>
    <row r="3760" spans="1:18" ht="30" customHeight="1" x14ac:dyDescent="0.25">
      <c r="A3760" s="181" t="s">
        <v>517</v>
      </c>
      <c r="B3760" s="180" t="s">
        <v>295</v>
      </c>
      <c r="C3760" s="180"/>
      <c r="D3760" s="180"/>
      <c r="E3760" s="285" t="s">
        <v>519</v>
      </c>
      <c r="F3760" s="181" t="s">
        <v>518</v>
      </c>
      <c r="G3760" s="665" t="s">
        <v>562</v>
      </c>
      <c r="H3760" s="666"/>
      <c r="I3760" s="286" t="s">
        <v>520</v>
      </c>
      <c r="J3760" s="287"/>
      <c r="K3760" s="493" t="s">
        <v>521</v>
      </c>
      <c r="L3760" s="494"/>
      <c r="M3760" s="419"/>
      <c r="N3760" s="420"/>
      <c r="O3760"/>
      <c r="P3760" s="412"/>
      <c r="Q3760" s="391"/>
      <c r="R3760" s="393"/>
    </row>
    <row r="3761" spans="1:18" s="49" customFormat="1" ht="30" customHeight="1" x14ac:dyDescent="0.25">
      <c r="A3761" s="20">
        <v>75022</v>
      </c>
      <c r="B3761" s="503" t="s">
        <v>2386</v>
      </c>
      <c r="C3761" s="504"/>
      <c r="D3761" s="505"/>
      <c r="E3761" s="405">
        <v>1177200</v>
      </c>
      <c r="F3761" s="729">
        <v>1</v>
      </c>
      <c r="G3761" s="1126"/>
      <c r="H3761" s="680"/>
      <c r="I3761" s="1109">
        <f>+'MILCON Inflation Table'!F17</f>
        <v>0.9432470865927236</v>
      </c>
      <c r="J3761" s="1110"/>
      <c r="K3761" s="304">
        <f>+E3761*I3761</f>
        <v>1110390.4703369543</v>
      </c>
      <c r="L3761" s="290" t="s">
        <v>11</v>
      </c>
      <c r="M3761" s="986"/>
      <c r="N3761" s="420"/>
      <c r="P3761" s="412"/>
      <c r="Q3761" s="391"/>
      <c r="R3761" s="393"/>
    </row>
    <row r="3762" spans="1:18" ht="30" customHeight="1" thickBot="1" x14ac:dyDescent="0.3">
      <c r="A3762" s="20"/>
      <c r="B3762" s="503"/>
      <c r="C3762" s="504"/>
      <c r="D3762" s="505"/>
      <c r="E3762" s="465"/>
      <c r="F3762" s="763"/>
      <c r="G3762" s="465"/>
      <c r="H3762" s="764"/>
      <c r="I3762" s="18"/>
      <c r="J3762" s="18" t="s">
        <v>358</v>
      </c>
      <c r="K3762" s="305">
        <f>SUM(K3761:K3761)</f>
        <v>1110390.4703369543</v>
      </c>
      <c r="L3762" s="290" t="s">
        <v>11</v>
      </c>
      <c r="M3762" s="986"/>
      <c r="N3762" s="420"/>
      <c r="O3762"/>
      <c r="P3762" s="412"/>
      <c r="Q3762" s="391"/>
      <c r="R3762" s="393"/>
    </row>
    <row r="3763" spans="1:18" ht="30" customHeight="1" thickBot="1" x14ac:dyDescent="0.3">
      <c r="A3763" s="76"/>
      <c r="B3763" s="77"/>
      <c r="C3763" s="77"/>
      <c r="D3763" s="77"/>
      <c r="E3763" s="77"/>
      <c r="F3763" s="77"/>
      <c r="G3763" s="77"/>
      <c r="H3763" s="77"/>
      <c r="I3763" s="77"/>
      <c r="J3763" s="77"/>
      <c r="K3763" s="77"/>
      <c r="L3763" s="78"/>
      <c r="M3763" s="670"/>
      <c r="N3763" s="420"/>
      <c r="O3763"/>
      <c r="P3763" s="412"/>
      <c r="Q3763" s="391"/>
      <c r="R3763" s="393"/>
    </row>
    <row r="3764" spans="1:18" ht="30" customHeight="1" x14ac:dyDescent="0.25">
      <c r="A3764" s="30" t="s">
        <v>288</v>
      </c>
      <c r="B3764" s="208">
        <v>7524</v>
      </c>
      <c r="C3764" s="209" t="s">
        <v>2387</v>
      </c>
      <c r="D3764" s="210"/>
      <c r="E3764" s="177" t="s">
        <v>291</v>
      </c>
      <c r="F3764" s="178" t="s">
        <v>11</v>
      </c>
      <c r="G3764" s="465" t="s">
        <v>290</v>
      </c>
      <c r="H3764" s="179">
        <v>1</v>
      </c>
      <c r="I3764" s="177" t="s">
        <v>292</v>
      </c>
      <c r="J3764" s="38" t="s">
        <v>883</v>
      </c>
      <c r="K3764" s="38"/>
      <c r="L3764" s="389"/>
      <c r="M3764" s="419"/>
      <c r="N3764" s="671"/>
      <c r="O3764" s="43"/>
      <c r="P3764" s="672"/>
      <c r="Q3764" s="671"/>
      <c r="R3764" s="673"/>
    </row>
    <row r="3765" spans="1:18" ht="30" customHeight="1" x14ac:dyDescent="0.25">
      <c r="A3765" s="48" t="s">
        <v>529</v>
      </c>
      <c r="B3765" s="394" t="s">
        <v>560</v>
      </c>
      <c r="C3765" s="395"/>
      <c r="D3765" s="396"/>
      <c r="E3765" s="397" t="s">
        <v>519</v>
      </c>
      <c r="F3765" s="397" t="s">
        <v>561</v>
      </c>
      <c r="G3765" s="398" t="s">
        <v>562</v>
      </c>
      <c r="H3765" s="399"/>
      <c r="I3765" s="181" t="s">
        <v>530</v>
      </c>
      <c r="J3765" s="181"/>
      <c r="K3765" s="493" t="s">
        <v>521</v>
      </c>
      <c r="L3765" s="494"/>
      <c r="M3765" s="419"/>
      <c r="N3765" s="671"/>
      <c r="O3765" s="43"/>
      <c r="P3765" s="672"/>
      <c r="Q3765" s="671"/>
      <c r="R3765" s="673"/>
    </row>
    <row r="3766" spans="1:18" ht="30" customHeight="1" x14ac:dyDescent="0.25">
      <c r="A3766" s="48"/>
      <c r="B3766" s="503" t="s">
        <v>2388</v>
      </c>
      <c r="C3766" s="504"/>
      <c r="D3766" s="505"/>
      <c r="E3766" s="397"/>
      <c r="F3766" s="397"/>
      <c r="G3766" s="774"/>
      <c r="H3766" s="775"/>
      <c r="I3766" s="599"/>
      <c r="J3766" s="599"/>
      <c r="K3766" s="397"/>
      <c r="L3766" s="397"/>
      <c r="M3766" s="419"/>
      <c r="N3766" s="420"/>
      <c r="O3766"/>
      <c r="P3766" s="412"/>
      <c r="Q3766" s="391"/>
      <c r="R3766" s="393"/>
    </row>
    <row r="3767" spans="1:18" ht="30" customHeight="1" x14ac:dyDescent="0.25">
      <c r="A3767" s="1334" t="s">
        <v>2389</v>
      </c>
      <c r="B3767" s="402" t="s">
        <v>2390</v>
      </c>
      <c r="C3767" s="403"/>
      <c r="D3767" s="404"/>
      <c r="E3767" s="405">
        <f>+(89.5+201)/2</f>
        <v>145.25</v>
      </c>
      <c r="F3767" s="22" t="s">
        <v>2391</v>
      </c>
      <c r="G3767" s="1453">
        <v>10000</v>
      </c>
      <c r="H3767" s="649" t="s">
        <v>2392</v>
      </c>
      <c r="I3767" s="751">
        <v>1.03</v>
      </c>
      <c r="J3767" s="20"/>
      <c r="K3767" s="405">
        <f>+E3767*G3767*I3767</f>
        <v>1496075</v>
      </c>
      <c r="L3767" s="20" t="s">
        <v>11</v>
      </c>
      <c r="M3767" s="419"/>
      <c r="N3767" s="420"/>
      <c r="O3767"/>
      <c r="P3767" s="412"/>
      <c r="Q3767" s="391"/>
      <c r="R3767" s="393"/>
    </row>
    <row r="3768" spans="1:18" ht="30" customHeight="1" x14ac:dyDescent="0.25">
      <c r="A3768" s="1334" t="s">
        <v>2389</v>
      </c>
      <c r="B3768" s="402" t="s">
        <v>2393</v>
      </c>
      <c r="C3768" s="403"/>
      <c r="D3768" s="404"/>
      <c r="E3768" s="405">
        <f>+(242+340)/2</f>
        <v>291</v>
      </c>
      <c r="F3768" s="22" t="s">
        <v>2391</v>
      </c>
      <c r="G3768" s="1453">
        <v>10000</v>
      </c>
      <c r="H3768" s="649" t="s">
        <v>2392</v>
      </c>
      <c r="I3768" s="751">
        <v>1.03</v>
      </c>
      <c r="J3768" s="20"/>
      <c r="K3768" s="405">
        <f>+E3768*G3768*I3768</f>
        <v>2997300</v>
      </c>
      <c r="L3768" s="20" t="s">
        <v>11</v>
      </c>
      <c r="M3768" s="425"/>
      <c r="N3768" s="420"/>
      <c r="O3768"/>
      <c r="P3768" s="412"/>
      <c r="Q3768" s="391"/>
      <c r="R3768" s="393"/>
    </row>
    <row r="3769" spans="1:18" ht="30" customHeight="1" x14ac:dyDescent="0.25">
      <c r="A3769" s="1334" t="s">
        <v>2389</v>
      </c>
      <c r="B3769" s="402" t="s">
        <v>2394</v>
      </c>
      <c r="C3769" s="504"/>
      <c r="D3769" s="505"/>
      <c r="E3769" s="405">
        <f>+(329+448)/2</f>
        <v>388.5</v>
      </c>
      <c r="F3769" s="22" t="s">
        <v>2391</v>
      </c>
      <c r="G3769" s="1453">
        <v>10000</v>
      </c>
      <c r="H3769" s="649" t="s">
        <v>2392</v>
      </c>
      <c r="I3769" s="751">
        <v>1.03</v>
      </c>
      <c r="J3769" s="20"/>
      <c r="K3769" s="405">
        <f>+E3769*G3769*I3769</f>
        <v>4001550</v>
      </c>
      <c r="L3769" s="20" t="s">
        <v>11</v>
      </c>
      <c r="M3769" s="419"/>
      <c r="N3769" s="420"/>
      <c r="O3769"/>
      <c r="P3769" s="412"/>
      <c r="Q3769" s="391"/>
      <c r="R3769" s="393"/>
    </row>
    <row r="3770" spans="1:18" s="49" customFormat="1" ht="30" customHeight="1" x14ac:dyDescent="0.25">
      <c r="A3770" s="1334"/>
      <c r="B3770" s="186"/>
      <c r="C3770" s="186"/>
      <c r="D3770" s="186"/>
      <c r="E3770" s="405"/>
      <c r="F3770" s="20"/>
      <c r="G3770" s="20"/>
      <c r="H3770" s="20"/>
      <c r="I3770" s="20"/>
      <c r="J3770" s="20" t="s">
        <v>536</v>
      </c>
      <c r="K3770" s="529">
        <f>AVERAGE(K3767:K3769)</f>
        <v>2831641.6666666665</v>
      </c>
      <c r="L3770" s="20" t="s">
        <v>11</v>
      </c>
      <c r="M3770" s="419"/>
      <c r="N3770" s="420"/>
      <c r="P3770" s="412"/>
      <c r="Q3770" s="391"/>
      <c r="R3770" s="393"/>
    </row>
    <row r="3771" spans="1:18" ht="30" customHeight="1" x14ac:dyDescent="0.25">
      <c r="A3771" s="61"/>
      <c r="B3771" s="410"/>
      <c r="C3771" s="410"/>
      <c r="D3771" s="410"/>
      <c r="E3771" s="405"/>
      <c r="F3771" s="338" t="s">
        <v>533</v>
      </c>
      <c r="G3771" s="339" t="s">
        <v>534</v>
      </c>
      <c r="H3771" s="339"/>
      <c r="I3771" s="339"/>
      <c r="J3771" s="339"/>
      <c r="K3771" s="340">
        <v>1.07</v>
      </c>
      <c r="L3771" s="10"/>
      <c r="M3771" s="670"/>
      <c r="N3771" s="420"/>
      <c r="O3771"/>
      <c r="P3771" s="412"/>
      <c r="Q3771" s="391"/>
      <c r="R3771" s="393"/>
    </row>
    <row r="3772" spans="1:18" ht="30" customHeight="1" x14ac:dyDescent="0.25">
      <c r="A3772" s="61"/>
      <c r="B3772" s="410"/>
      <c r="C3772" s="410"/>
      <c r="D3772" s="410"/>
      <c r="E3772" s="405"/>
      <c r="F3772" s="343"/>
      <c r="G3772" s="344" t="s">
        <v>535</v>
      </c>
      <c r="H3772" s="344"/>
      <c r="I3772" s="344"/>
      <c r="J3772" s="344"/>
      <c r="K3772" s="340">
        <v>1.02</v>
      </c>
      <c r="L3772" s="10"/>
      <c r="M3772" s="670"/>
      <c r="N3772" s="420"/>
      <c r="O3772"/>
      <c r="P3772" s="412"/>
      <c r="Q3772" s="391"/>
      <c r="R3772" s="393"/>
    </row>
    <row r="3773" spans="1:18" ht="30" customHeight="1" x14ac:dyDescent="0.25">
      <c r="A3773" s="1334"/>
      <c r="B3773" s="186"/>
      <c r="C3773" s="186"/>
      <c r="D3773" s="186"/>
      <c r="E3773" s="405"/>
      <c r="F3773" s="20"/>
      <c r="G3773" s="20"/>
      <c r="H3773" s="20"/>
      <c r="I3773" s="20"/>
      <c r="J3773" s="20" t="s">
        <v>358</v>
      </c>
      <c r="K3773" s="405">
        <f>+K3770*K3771/K3772</f>
        <v>2970447.6307189544</v>
      </c>
      <c r="L3773" s="20" t="s">
        <v>11</v>
      </c>
      <c r="M3773" s="419"/>
      <c r="N3773" s="671"/>
      <c r="O3773"/>
      <c r="P3773" s="412"/>
      <c r="Q3773" s="391"/>
      <c r="R3773" s="393"/>
    </row>
    <row r="3774" spans="1:18" ht="30" customHeight="1" thickBot="1" x14ac:dyDescent="0.3">
      <c r="A3774" s="61"/>
      <c r="B3774" s="20"/>
      <c r="C3774" s="18"/>
      <c r="D3774" s="18"/>
      <c r="E3774" s="18"/>
      <c r="F3774" s="18"/>
      <c r="G3774" s="413" t="s">
        <v>537</v>
      </c>
      <c r="H3774" s="18"/>
      <c r="I3774" s="18"/>
      <c r="J3774" s="361">
        <f>VLOOKUP(B3764,'Mil Cost Premiums for RUCs'!$A$4:$R$265,18,FALSE)</f>
        <v>1.1199953840399997</v>
      </c>
      <c r="K3774" s="23">
        <f>+K3770*J3774</f>
        <v>3171425.5959219979</v>
      </c>
      <c r="L3774" s="20" t="s">
        <v>11</v>
      </c>
      <c r="M3774" s="419"/>
      <c r="N3774" s="671"/>
      <c r="O3774"/>
      <c r="P3774" s="412"/>
      <c r="Q3774" s="391"/>
      <c r="R3774" s="393"/>
    </row>
    <row r="3775" spans="1:18" ht="30" customHeight="1" thickBot="1" x14ac:dyDescent="0.3">
      <c r="A3775" s="76"/>
      <c r="B3775" s="77"/>
      <c r="C3775" s="77"/>
      <c r="D3775" s="77"/>
      <c r="E3775" s="77"/>
      <c r="F3775" s="77"/>
      <c r="G3775" s="77"/>
      <c r="H3775" s="77"/>
      <c r="I3775" s="77"/>
      <c r="J3775" s="77"/>
      <c r="K3775" s="77"/>
      <c r="L3775" s="78"/>
      <c r="M3775" s="419"/>
      <c r="N3775" s="420"/>
      <c r="O3775"/>
      <c r="P3775" s="412"/>
      <c r="Q3775" s="391"/>
      <c r="R3775" s="393"/>
    </row>
    <row r="3776" spans="1:18" ht="30" customHeight="1" x14ac:dyDescent="0.25">
      <c r="A3776" s="30" t="s">
        <v>288</v>
      </c>
      <c r="B3776" s="208">
        <v>7531</v>
      </c>
      <c r="C3776" s="209" t="s">
        <v>2395</v>
      </c>
      <c r="D3776" s="210"/>
      <c r="E3776" s="177" t="s">
        <v>291</v>
      </c>
      <c r="F3776" s="178" t="s">
        <v>9</v>
      </c>
      <c r="G3776" s="123" t="s">
        <v>375</v>
      </c>
      <c r="H3776" s="179">
        <v>566</v>
      </c>
      <c r="I3776" s="177" t="s">
        <v>292</v>
      </c>
      <c r="J3776" s="38" t="s">
        <v>883</v>
      </c>
      <c r="K3776" s="38"/>
      <c r="L3776" s="389"/>
      <c r="M3776" s="419"/>
      <c r="N3776" s="420"/>
      <c r="O3776"/>
      <c r="P3776" s="412"/>
      <c r="Q3776" s="391"/>
      <c r="R3776" s="393"/>
    </row>
    <row r="3777" spans="1:21" ht="30" customHeight="1" x14ac:dyDescent="0.25">
      <c r="A3777" s="48" t="s">
        <v>529</v>
      </c>
      <c r="B3777" s="394" t="s">
        <v>560</v>
      </c>
      <c r="C3777" s="395"/>
      <c r="D3777" s="396"/>
      <c r="E3777" s="397" t="s">
        <v>519</v>
      </c>
      <c r="F3777" s="397" t="s">
        <v>561</v>
      </c>
      <c r="G3777" s="1454" t="s">
        <v>562</v>
      </c>
      <c r="H3777" s="1455"/>
      <c r="I3777" s="181" t="s">
        <v>530</v>
      </c>
      <c r="J3777" s="181"/>
      <c r="K3777" s="493" t="s">
        <v>521</v>
      </c>
      <c r="L3777" s="494"/>
      <c r="M3777" s="425"/>
      <c r="N3777" s="420"/>
      <c r="O3777"/>
      <c r="P3777" s="412"/>
      <c r="Q3777" s="391"/>
      <c r="R3777" s="393"/>
    </row>
    <row r="3778" spans="1:21" ht="30" customHeight="1" x14ac:dyDescent="0.25">
      <c r="A3778" s="61" t="s">
        <v>2396</v>
      </c>
      <c r="B3778" s="503" t="s">
        <v>2397</v>
      </c>
      <c r="C3778" s="504"/>
      <c r="D3778" s="505"/>
      <c r="E3778" s="760">
        <v>88.5</v>
      </c>
      <c r="F3778" s="22" t="s">
        <v>9</v>
      </c>
      <c r="G3778" s="1112"/>
      <c r="H3778" s="758"/>
      <c r="I3778" s="20">
        <v>1.04</v>
      </c>
      <c r="J3778" s="20"/>
      <c r="K3778" s="756">
        <f>+I3778*E3778</f>
        <v>92.04</v>
      </c>
      <c r="L3778" s="22" t="s">
        <v>9</v>
      </c>
      <c r="M3778" s="419"/>
      <c r="N3778" s="420"/>
      <c r="O3778"/>
      <c r="P3778" s="412"/>
      <c r="Q3778" s="391"/>
      <c r="R3778" s="393"/>
    </row>
    <row r="3779" spans="1:21" ht="30" customHeight="1" x14ac:dyDescent="0.25">
      <c r="A3779" s="61"/>
      <c r="B3779" s="410"/>
      <c r="C3779" s="410"/>
      <c r="D3779" s="410"/>
      <c r="E3779" s="405"/>
      <c r="F3779" s="338" t="s">
        <v>533</v>
      </c>
      <c r="G3779" s="339" t="s">
        <v>534</v>
      </c>
      <c r="H3779" s="339"/>
      <c r="I3779" s="339"/>
      <c r="J3779" s="339"/>
      <c r="K3779" s="340">
        <v>1.07</v>
      </c>
      <c r="L3779" s="10"/>
      <c r="M3779" s="419"/>
      <c r="N3779" s="420"/>
      <c r="O3779"/>
      <c r="P3779" s="412"/>
      <c r="Q3779" s="391"/>
      <c r="R3779" s="393"/>
    </row>
    <row r="3780" spans="1:21" ht="30" customHeight="1" x14ac:dyDescent="0.25">
      <c r="A3780" s="61"/>
      <c r="B3780" s="410"/>
      <c r="C3780" s="410"/>
      <c r="D3780" s="410"/>
      <c r="E3780" s="405"/>
      <c r="F3780" s="343"/>
      <c r="G3780" s="344" t="s">
        <v>535</v>
      </c>
      <c r="H3780" s="344"/>
      <c r="I3780" s="344"/>
      <c r="J3780" s="344"/>
      <c r="K3780" s="340">
        <v>1.02</v>
      </c>
      <c r="L3780" s="10"/>
      <c r="M3780" s="419"/>
      <c r="N3780" s="420"/>
      <c r="O3780" s="43"/>
      <c r="P3780" s="672"/>
      <c r="Q3780" s="671"/>
      <c r="R3780" s="673"/>
    </row>
    <row r="3781" spans="1:21" ht="30" customHeight="1" x14ac:dyDescent="0.25">
      <c r="A3781" s="1334"/>
      <c r="B3781" s="503"/>
      <c r="C3781" s="504"/>
      <c r="D3781" s="505"/>
      <c r="E3781" s="405"/>
      <c r="F3781" s="22"/>
      <c r="G3781" s="730"/>
      <c r="H3781" s="649"/>
      <c r="I3781" s="20"/>
      <c r="J3781" s="20" t="s">
        <v>358</v>
      </c>
      <c r="K3781" s="23">
        <f>+K3778*K3779/K3780</f>
        <v>96.551764705882363</v>
      </c>
      <c r="L3781" s="20" t="s">
        <v>9</v>
      </c>
      <c r="M3781" s="419"/>
      <c r="N3781" s="420"/>
      <c r="O3781" s="43"/>
      <c r="P3781" s="672"/>
      <c r="Q3781" s="671"/>
      <c r="R3781" s="673"/>
    </row>
    <row r="3782" spans="1:21" ht="30" customHeight="1" thickBot="1" x14ac:dyDescent="0.3">
      <c r="A3782" s="61"/>
      <c r="B3782" s="20"/>
      <c r="C3782" s="18"/>
      <c r="D3782" s="18"/>
      <c r="E3782" s="18"/>
      <c r="F3782" s="18"/>
      <c r="G3782" s="413" t="s">
        <v>537</v>
      </c>
      <c r="H3782" s="18"/>
      <c r="I3782" s="18"/>
      <c r="J3782" s="361">
        <f>VLOOKUP(B3776,'Mil Cost Premiums for RUCs'!$A$4:$R$265,18,FALSE)</f>
        <v>1.0209999999999999</v>
      </c>
      <c r="K3782" s="23">
        <f>+K3781*J3782</f>
        <v>98.579351764705876</v>
      </c>
      <c r="L3782" s="20" t="s">
        <v>9</v>
      </c>
      <c r="M3782" s="419"/>
      <c r="N3782" s="420"/>
      <c r="O3782"/>
      <c r="P3782" s="412"/>
      <c r="Q3782" s="391"/>
      <c r="R3782" s="393"/>
    </row>
    <row r="3783" spans="1:21" ht="30" customHeight="1" thickBot="1" x14ac:dyDescent="0.3">
      <c r="A3783" s="76"/>
      <c r="B3783" s="77"/>
      <c r="C3783" s="77"/>
      <c r="D3783" s="77"/>
      <c r="E3783" s="77"/>
      <c r="F3783" s="77"/>
      <c r="G3783" s="77"/>
      <c r="H3783" s="77"/>
      <c r="I3783" s="77"/>
      <c r="J3783" s="77"/>
      <c r="K3783" s="77"/>
      <c r="L3783" s="78"/>
      <c r="M3783" s="419"/>
      <c r="N3783" s="420"/>
      <c r="O3783" s="42"/>
      <c r="P3783" s="41"/>
      <c r="Q3783" s="41"/>
      <c r="R3783" s="41"/>
      <c r="S3783" s="41"/>
      <c r="T3783" s="41"/>
      <c r="U3783" s="43"/>
    </row>
    <row r="3784" spans="1:21" ht="30" customHeight="1" x14ac:dyDescent="0.25">
      <c r="A3784" s="30" t="s">
        <v>288</v>
      </c>
      <c r="B3784" s="208">
        <v>7532</v>
      </c>
      <c r="C3784" s="209" t="s">
        <v>2398</v>
      </c>
      <c r="D3784" s="210"/>
      <c r="E3784" s="177" t="s">
        <v>291</v>
      </c>
      <c r="F3784" s="178" t="s">
        <v>11</v>
      </c>
      <c r="G3784" s="465" t="s">
        <v>290</v>
      </c>
      <c r="H3784" s="179">
        <v>1</v>
      </c>
      <c r="I3784" s="177" t="s">
        <v>292</v>
      </c>
      <c r="J3784" s="38" t="s">
        <v>883</v>
      </c>
      <c r="K3784" s="38"/>
      <c r="L3784" s="389"/>
      <c r="M3784" s="419"/>
      <c r="N3784" s="420"/>
      <c r="U3784" s="43"/>
    </row>
    <row r="3785" spans="1:21" s="41" customFormat="1" ht="30" customHeight="1" x14ac:dyDescent="0.25">
      <c r="A3785" s="48" t="s">
        <v>529</v>
      </c>
      <c r="B3785" s="394" t="s">
        <v>560</v>
      </c>
      <c r="C3785" s="395"/>
      <c r="D3785" s="396"/>
      <c r="E3785" s="397" t="s">
        <v>519</v>
      </c>
      <c r="F3785" s="397" t="s">
        <v>561</v>
      </c>
      <c r="G3785" s="398" t="s">
        <v>562</v>
      </c>
      <c r="H3785" s="399"/>
      <c r="I3785" s="181" t="s">
        <v>530</v>
      </c>
      <c r="J3785" s="181"/>
      <c r="K3785" s="493" t="s">
        <v>521</v>
      </c>
      <c r="L3785" s="494"/>
      <c r="M3785" s="419"/>
      <c r="N3785" s="420"/>
      <c r="O3785" s="27"/>
      <c r="P3785"/>
      <c r="Q3785"/>
      <c r="R3785"/>
      <c r="S3785"/>
      <c r="T3785"/>
    </row>
    <row r="3786" spans="1:21" s="49" customFormat="1" ht="30" customHeight="1" x14ac:dyDescent="0.25">
      <c r="A3786" s="61" t="s">
        <v>2399</v>
      </c>
      <c r="B3786" s="523" t="s">
        <v>2400</v>
      </c>
      <c r="C3786" s="989"/>
      <c r="D3786" s="990"/>
      <c r="E3786" s="760">
        <v>1819</v>
      </c>
      <c r="F3786" s="22" t="s">
        <v>2401</v>
      </c>
      <c r="G3786" s="1112">
        <v>75</v>
      </c>
      <c r="H3786" s="758" t="s">
        <v>2402</v>
      </c>
      <c r="I3786" s="751">
        <v>1.03</v>
      </c>
      <c r="J3786" s="751"/>
      <c r="K3786" s="756">
        <f>+E3786*G3786*I3786</f>
        <v>140517.75</v>
      </c>
      <c r="L3786" s="22" t="s">
        <v>11</v>
      </c>
      <c r="M3786" s="419"/>
      <c r="N3786" s="420"/>
      <c r="O3786" s="27"/>
      <c r="P3786" s="50"/>
      <c r="Q3786" s="50"/>
      <c r="R3786" s="50"/>
      <c r="S3786" s="212"/>
      <c r="T3786" s="212"/>
    </row>
    <row r="3787" spans="1:21" ht="30" customHeight="1" x14ac:dyDescent="0.25">
      <c r="A3787" s="1334"/>
      <c r="B3787" s="186" t="s">
        <v>2403</v>
      </c>
      <c r="C3787" s="186"/>
      <c r="D3787" s="186"/>
      <c r="E3787" s="405"/>
      <c r="F3787" s="20"/>
      <c r="G3787" s="20"/>
      <c r="H3787" s="20"/>
      <c r="I3787" s="20"/>
      <c r="J3787" s="20"/>
      <c r="K3787" s="405"/>
      <c r="L3787" s="20"/>
      <c r="M3787" s="670"/>
      <c r="N3787" s="420"/>
      <c r="P3787" s="43"/>
      <c r="Q3787" s="43"/>
      <c r="R3787" s="43"/>
      <c r="S3787" s="60"/>
      <c r="T3787" s="60"/>
    </row>
    <row r="3788" spans="1:21" ht="30" customHeight="1" x14ac:dyDescent="0.25">
      <c r="A3788" s="61"/>
      <c r="B3788" s="410"/>
      <c r="C3788" s="410"/>
      <c r="D3788" s="410"/>
      <c r="E3788" s="405"/>
      <c r="F3788" s="338" t="s">
        <v>533</v>
      </c>
      <c r="G3788" s="339" t="s">
        <v>534</v>
      </c>
      <c r="H3788" s="339"/>
      <c r="I3788" s="339"/>
      <c r="J3788" s="339"/>
      <c r="K3788" s="340">
        <v>1.07</v>
      </c>
      <c r="L3788" s="10"/>
      <c r="M3788" s="670"/>
      <c r="N3788" s="420"/>
      <c r="O3788"/>
      <c r="P3788" s="412"/>
      <c r="Q3788" s="391"/>
      <c r="R3788" s="393"/>
    </row>
    <row r="3789" spans="1:21" ht="30" customHeight="1" x14ac:dyDescent="0.25">
      <c r="A3789" s="61"/>
      <c r="B3789" s="410"/>
      <c r="C3789" s="410"/>
      <c r="D3789" s="410"/>
      <c r="E3789" s="405"/>
      <c r="F3789" s="343"/>
      <c r="G3789" s="344" t="s">
        <v>535</v>
      </c>
      <c r="H3789" s="344"/>
      <c r="I3789" s="344"/>
      <c r="J3789" s="344"/>
      <c r="K3789" s="340">
        <v>1.02</v>
      </c>
      <c r="L3789" s="10"/>
      <c r="M3789" s="419"/>
      <c r="N3789" s="671"/>
      <c r="O3789"/>
      <c r="P3789" s="412"/>
      <c r="Q3789" s="391"/>
      <c r="R3789" s="393"/>
    </row>
    <row r="3790" spans="1:21" ht="30" customHeight="1" x14ac:dyDescent="0.25">
      <c r="A3790" s="61"/>
      <c r="B3790" s="20"/>
      <c r="C3790" s="18"/>
      <c r="D3790" s="18"/>
      <c r="E3790" s="18"/>
      <c r="F3790" s="18"/>
      <c r="G3790" s="18"/>
      <c r="H3790" s="18"/>
      <c r="I3790" s="18"/>
      <c r="J3790" s="20" t="s">
        <v>358</v>
      </c>
      <c r="K3790" s="23">
        <f>+K3786*K3788/K3789</f>
        <v>147405.87500000003</v>
      </c>
      <c r="L3790" s="20" t="s">
        <v>11</v>
      </c>
      <c r="M3790" s="1456"/>
      <c r="N3790" s="671"/>
      <c r="O3790"/>
      <c r="P3790" s="412"/>
      <c r="Q3790" s="391"/>
      <c r="R3790" s="393"/>
    </row>
    <row r="3791" spans="1:21" s="49" customFormat="1" ht="30" customHeight="1" thickBot="1" x14ac:dyDescent="0.3">
      <c r="A3791" s="61"/>
      <c r="B3791" s="20"/>
      <c r="C3791" s="18"/>
      <c r="D3791" s="18"/>
      <c r="E3791" s="18"/>
      <c r="F3791" s="18"/>
      <c r="G3791" s="413" t="s">
        <v>537</v>
      </c>
      <c r="H3791" s="18"/>
      <c r="I3791" s="18"/>
      <c r="J3791" s="361">
        <f>VLOOKUP(B3784,'Mil Cost Premiums for RUCs'!$A$4:$R$265,18,FALSE)</f>
        <v>1.0485669999999998</v>
      </c>
      <c r="K3791" s="23">
        <f>+K3790*J3791</f>
        <v>154564.936131125</v>
      </c>
      <c r="L3791" s="20" t="s">
        <v>11</v>
      </c>
      <c r="M3791" s="419"/>
      <c r="N3791" s="420"/>
      <c r="P3791" s="412"/>
      <c r="Q3791" s="391"/>
      <c r="R3791" s="393"/>
    </row>
    <row r="3792" spans="1:21" ht="30" customHeight="1" thickBot="1" x14ac:dyDescent="0.3">
      <c r="A3792" s="76"/>
      <c r="B3792" s="77"/>
      <c r="C3792" s="77"/>
      <c r="D3792" s="77"/>
      <c r="E3792" s="77"/>
      <c r="F3792" s="77"/>
      <c r="G3792" s="77"/>
      <c r="H3792" s="77"/>
      <c r="I3792" s="77"/>
      <c r="J3792" s="77"/>
      <c r="K3792" s="77"/>
      <c r="L3792" s="78"/>
      <c r="N3792" s="420"/>
      <c r="O3792"/>
      <c r="P3792" s="412"/>
      <c r="Q3792" s="391"/>
      <c r="R3792" s="393"/>
    </row>
    <row r="3793" spans="1:18" ht="30" customHeight="1" x14ac:dyDescent="0.25">
      <c r="A3793" s="30" t="s">
        <v>288</v>
      </c>
      <c r="B3793" s="208">
        <v>7541</v>
      </c>
      <c r="C3793" s="209" t="s">
        <v>2404</v>
      </c>
      <c r="D3793" s="210"/>
      <c r="E3793" s="177" t="s">
        <v>291</v>
      </c>
      <c r="F3793" s="178" t="s">
        <v>11</v>
      </c>
      <c r="G3793" s="465" t="s">
        <v>290</v>
      </c>
      <c r="H3793" s="179">
        <v>1</v>
      </c>
      <c r="I3793" s="177" t="s">
        <v>292</v>
      </c>
      <c r="J3793" s="38" t="s">
        <v>883</v>
      </c>
      <c r="K3793" s="38"/>
      <c r="L3793" s="389"/>
      <c r="M3793" s="502"/>
      <c r="N3793" s="420"/>
      <c r="O3793"/>
      <c r="P3793" s="412"/>
      <c r="Q3793" s="391"/>
      <c r="R3793" s="393"/>
    </row>
    <row r="3794" spans="1:18" ht="45" customHeight="1" x14ac:dyDescent="0.25">
      <c r="A3794" s="48" t="s">
        <v>529</v>
      </c>
      <c r="B3794" s="394" t="s">
        <v>560</v>
      </c>
      <c r="C3794" s="395"/>
      <c r="D3794" s="396"/>
      <c r="E3794" s="397" t="s">
        <v>519</v>
      </c>
      <c r="F3794" s="397" t="s">
        <v>561</v>
      </c>
      <c r="G3794" s="398" t="s">
        <v>562</v>
      </c>
      <c r="H3794" s="399"/>
      <c r="I3794" s="181" t="s">
        <v>530</v>
      </c>
      <c r="J3794" s="181" t="s">
        <v>2405</v>
      </c>
      <c r="K3794" s="493" t="s">
        <v>521</v>
      </c>
      <c r="L3794" s="494"/>
      <c r="M3794" s="341"/>
      <c r="N3794" s="342"/>
      <c r="O3794"/>
      <c r="P3794" s="412"/>
      <c r="Q3794" s="391"/>
      <c r="R3794" s="393"/>
    </row>
    <row r="3795" spans="1:18" ht="45" customHeight="1" x14ac:dyDescent="0.25">
      <c r="A3795" s="61" t="s">
        <v>2406</v>
      </c>
      <c r="B3795" s="402" t="s">
        <v>2407</v>
      </c>
      <c r="C3795" s="403"/>
      <c r="D3795" s="404"/>
      <c r="E3795" s="760">
        <v>7900</v>
      </c>
      <c r="F3795" s="22" t="s">
        <v>2408</v>
      </c>
      <c r="G3795" s="1112">
        <v>40</v>
      </c>
      <c r="H3795" s="758" t="s">
        <v>2409</v>
      </c>
      <c r="I3795" s="751">
        <v>1.02</v>
      </c>
      <c r="J3795" s="20">
        <v>1.07</v>
      </c>
      <c r="K3795" s="756">
        <f>+E3795*G3795*I3795*J3795</f>
        <v>344882.4</v>
      </c>
      <c r="L3795" s="22" t="s">
        <v>11</v>
      </c>
      <c r="N3795" s="502"/>
      <c r="O3795"/>
      <c r="P3795" s="412"/>
      <c r="Q3795" s="391"/>
      <c r="R3795" s="393"/>
    </row>
    <row r="3796" spans="1:18" ht="30" customHeight="1" x14ac:dyDescent="0.25">
      <c r="A3796" s="61"/>
      <c r="B3796" s="410"/>
      <c r="C3796" s="410"/>
      <c r="D3796" s="410"/>
      <c r="E3796" s="405"/>
      <c r="F3796" s="338" t="s">
        <v>533</v>
      </c>
      <c r="G3796" s="339" t="s">
        <v>534</v>
      </c>
      <c r="H3796" s="339"/>
      <c r="I3796" s="339"/>
      <c r="J3796" s="339"/>
      <c r="K3796" s="340">
        <v>1.07</v>
      </c>
      <c r="L3796" s="10"/>
      <c r="M3796" s="43"/>
      <c r="O3796"/>
      <c r="P3796" s="412"/>
      <c r="Q3796" s="391"/>
      <c r="R3796" s="393"/>
    </row>
    <row r="3797" spans="1:18" ht="30" customHeight="1" x14ac:dyDescent="0.25">
      <c r="A3797" s="61"/>
      <c r="B3797" s="410"/>
      <c r="C3797" s="410"/>
      <c r="D3797" s="410"/>
      <c r="E3797" s="405"/>
      <c r="F3797" s="343"/>
      <c r="G3797" s="344" t="s">
        <v>535</v>
      </c>
      <c r="H3797" s="344"/>
      <c r="I3797" s="344"/>
      <c r="J3797" s="344"/>
      <c r="K3797" s="340">
        <v>1.02</v>
      </c>
      <c r="L3797" s="10"/>
      <c r="M3797" s="419"/>
      <c r="O3797" s="43"/>
      <c r="P3797" s="672"/>
      <c r="Q3797" s="671"/>
      <c r="R3797" s="673"/>
    </row>
    <row r="3798" spans="1:18" ht="30" customHeight="1" x14ac:dyDescent="0.25">
      <c r="A3798" s="61"/>
      <c r="B3798" s="20"/>
      <c r="C3798" s="18"/>
      <c r="D3798" s="18"/>
      <c r="E3798" s="18"/>
      <c r="F3798" s="18"/>
      <c r="G3798" s="246"/>
      <c r="H3798" s="246"/>
      <c r="I3798" s="18"/>
      <c r="J3798" s="18" t="s">
        <v>358</v>
      </c>
      <c r="K3798" s="23">
        <f>K3795*K3796/K3797</f>
        <v>361788.40000000008</v>
      </c>
      <c r="L3798" s="20" t="s">
        <v>11</v>
      </c>
      <c r="M3798" s="425"/>
      <c r="O3798" s="43"/>
      <c r="P3798" s="672"/>
      <c r="Q3798" s="671"/>
      <c r="R3798" s="673"/>
    </row>
    <row r="3799" spans="1:18" ht="30" customHeight="1" thickBot="1" x14ac:dyDescent="0.3">
      <c r="A3799" s="61"/>
      <c r="B3799" s="20"/>
      <c r="C3799" s="18"/>
      <c r="D3799" s="18"/>
      <c r="E3799" s="18"/>
      <c r="F3799" s="18"/>
      <c r="G3799" s="413" t="s">
        <v>537</v>
      </c>
      <c r="H3799" s="18"/>
      <c r="I3799" s="18"/>
      <c r="J3799" s="361">
        <f>VLOOKUP(B3793,'Mil Cost Premiums for RUCs'!$A$4:$R$265,18,FALSE)</f>
        <v>1.0485669999999998</v>
      </c>
      <c r="K3799" s="23">
        <f>+K3798*J3799</f>
        <v>379359.37722279999</v>
      </c>
      <c r="L3799" s="20"/>
      <c r="M3799" s="419"/>
      <c r="N3799" s="420"/>
      <c r="O3799"/>
      <c r="P3799" s="412"/>
      <c r="Q3799" s="391"/>
      <c r="R3799" s="393"/>
    </row>
    <row r="3800" spans="1:18" ht="30" customHeight="1" thickBot="1" x14ac:dyDescent="0.3">
      <c r="A3800" s="76"/>
      <c r="B3800" s="77"/>
      <c r="C3800" s="77"/>
      <c r="D3800" s="77"/>
      <c r="E3800" s="77"/>
      <c r="F3800" s="77"/>
      <c r="G3800" s="77"/>
      <c r="H3800" s="77"/>
      <c r="I3800" s="77"/>
      <c r="J3800" s="77"/>
      <c r="K3800" s="77"/>
      <c r="L3800" s="78"/>
      <c r="M3800" s="419"/>
      <c r="N3800" s="420"/>
      <c r="O3800"/>
      <c r="P3800" s="412"/>
      <c r="Q3800" s="391"/>
      <c r="R3800" s="393"/>
    </row>
    <row r="3801" spans="1:18" ht="30" customHeight="1" x14ac:dyDescent="0.25">
      <c r="A3801" s="417" t="s">
        <v>288</v>
      </c>
      <c r="B3801" s="418">
        <v>7542</v>
      </c>
      <c r="C3801" s="1253" t="s">
        <v>2410</v>
      </c>
      <c r="D3801" s="748"/>
      <c r="E3801" s="540" t="s">
        <v>291</v>
      </c>
      <c r="F3801" s="541" t="s">
        <v>11</v>
      </c>
      <c r="G3801" s="693" t="s">
        <v>2411</v>
      </c>
      <c r="H3801" s="600">
        <v>1</v>
      </c>
      <c r="I3801" s="540" t="s">
        <v>292</v>
      </c>
      <c r="J3801" s="38" t="s">
        <v>883</v>
      </c>
      <c r="K3801" s="38"/>
      <c r="L3801" s="389"/>
      <c r="M3801" s="419"/>
      <c r="N3801" s="420"/>
      <c r="O3801"/>
      <c r="P3801" s="412"/>
      <c r="Q3801" s="391"/>
      <c r="R3801" s="393"/>
    </row>
    <row r="3802" spans="1:18" ht="30" customHeight="1" x14ac:dyDescent="0.25">
      <c r="A3802" s="421" t="s">
        <v>529</v>
      </c>
      <c r="B3802" s="543" t="s">
        <v>560</v>
      </c>
      <c r="C3802" s="544"/>
      <c r="D3802" s="545"/>
      <c r="E3802" s="546" t="s">
        <v>519</v>
      </c>
      <c r="F3802" s="546" t="s">
        <v>561</v>
      </c>
      <c r="G3802" s="547" t="s">
        <v>562</v>
      </c>
      <c r="H3802" s="548"/>
      <c r="I3802" s="424" t="s">
        <v>530</v>
      </c>
      <c r="J3802" s="424"/>
      <c r="K3802" s="493" t="s">
        <v>521</v>
      </c>
      <c r="L3802" s="494"/>
      <c r="M3802" s="419"/>
      <c r="N3802" s="420"/>
      <c r="O3802"/>
      <c r="P3802" s="412"/>
      <c r="Q3802" s="391"/>
      <c r="R3802" s="393"/>
    </row>
    <row r="3803" spans="1:18" s="49" customFormat="1" ht="30" customHeight="1" x14ac:dyDescent="0.25">
      <c r="A3803" s="10" t="s">
        <v>2375</v>
      </c>
      <c r="B3803" s="346" t="s">
        <v>2412</v>
      </c>
      <c r="C3803" s="347"/>
      <c r="D3803" s="348"/>
      <c r="E3803" s="699">
        <f>+(33600+52000)/2+(9150+13600)/2+(10700+14700)/2+(1.33+4.76)/2*7200</f>
        <v>88799</v>
      </c>
      <c r="F3803" s="5" t="s">
        <v>11</v>
      </c>
      <c r="G3803" s="844"/>
      <c r="H3803" s="1041"/>
      <c r="I3803" s="886">
        <v>1.03</v>
      </c>
      <c r="J3803" s="10"/>
      <c r="K3803" s="700">
        <f>+E3803*I3803</f>
        <v>91462.97</v>
      </c>
      <c r="L3803" s="5" t="s">
        <v>11</v>
      </c>
      <c r="M3803" s="419"/>
      <c r="N3803" s="420"/>
      <c r="P3803" s="412"/>
      <c r="Q3803" s="391"/>
      <c r="R3803" s="393"/>
    </row>
    <row r="3804" spans="1:18" ht="30" customHeight="1" x14ac:dyDescent="0.25">
      <c r="A3804" s="10" t="s">
        <v>2360</v>
      </c>
      <c r="B3804" s="323" t="s">
        <v>2413</v>
      </c>
      <c r="C3804" s="324"/>
      <c r="D3804" s="325"/>
      <c r="E3804" s="699">
        <f>+(6700+21100)/2</f>
        <v>13900</v>
      </c>
      <c r="F3804" s="5" t="s">
        <v>2356</v>
      </c>
      <c r="G3804" s="1457">
        <v>18</v>
      </c>
      <c r="H3804" s="842" t="s">
        <v>2414</v>
      </c>
      <c r="I3804" s="886">
        <v>1.03</v>
      </c>
      <c r="J3804" s="10"/>
      <c r="K3804" s="700">
        <f>+E3804*G3804*I3804</f>
        <v>257706</v>
      </c>
      <c r="L3804" s="5" t="s">
        <v>11</v>
      </c>
      <c r="M3804" s="670"/>
      <c r="N3804" s="420"/>
      <c r="O3804"/>
      <c r="P3804" s="412"/>
      <c r="Q3804" s="391"/>
      <c r="R3804" s="393"/>
    </row>
    <row r="3805" spans="1:18" ht="30" customHeight="1" x14ac:dyDescent="0.25">
      <c r="A3805" s="10"/>
      <c r="B3805" s="323" t="s">
        <v>2415</v>
      </c>
      <c r="C3805" s="324"/>
      <c r="D3805" s="325"/>
      <c r="E3805" s="699"/>
      <c r="F3805" s="5"/>
      <c r="G3805" s="844"/>
      <c r="H3805" s="842"/>
      <c r="I3805" s="10"/>
      <c r="J3805" s="10"/>
      <c r="K3805" s="700"/>
      <c r="L3805" s="5"/>
      <c r="M3805" s="670"/>
      <c r="N3805" s="420"/>
      <c r="O3805" s="43"/>
      <c r="P3805" s="672"/>
      <c r="Q3805" s="671"/>
      <c r="R3805" s="673"/>
    </row>
    <row r="3806" spans="1:18" ht="30" customHeight="1" x14ac:dyDescent="0.25">
      <c r="A3806" s="10" t="s">
        <v>906</v>
      </c>
      <c r="B3806" s="346" t="s">
        <v>2416</v>
      </c>
      <c r="C3806" s="347"/>
      <c r="D3806" s="348"/>
      <c r="E3806" s="699">
        <v>0.27</v>
      </c>
      <c r="F3806" s="5" t="s">
        <v>9</v>
      </c>
      <c r="G3806" s="841">
        <f>3.5*43560</f>
        <v>152460</v>
      </c>
      <c r="H3806" s="842" t="s">
        <v>2417</v>
      </c>
      <c r="I3806" s="1041">
        <v>1.04</v>
      </c>
      <c r="J3806" s="10"/>
      <c r="K3806" s="700">
        <f>+E3806*G3806*I3806</f>
        <v>42810.768000000004</v>
      </c>
      <c r="L3806" s="5"/>
      <c r="M3806" s="419"/>
      <c r="N3806" s="671"/>
      <c r="O3806" s="43"/>
      <c r="P3806" s="672"/>
      <c r="Q3806" s="671"/>
      <c r="R3806" s="673"/>
    </row>
    <row r="3807" spans="1:18" ht="30" customHeight="1" x14ac:dyDescent="0.25">
      <c r="A3807" s="10" t="s">
        <v>906</v>
      </c>
      <c r="B3807" s="323" t="s">
        <v>2418</v>
      </c>
      <c r="C3807" s="324"/>
      <c r="D3807" s="325"/>
      <c r="E3807" s="699">
        <v>0.4</v>
      </c>
      <c r="F3807" s="5" t="s">
        <v>9</v>
      </c>
      <c r="G3807" s="841">
        <f>3.5*43560</f>
        <v>152460</v>
      </c>
      <c r="H3807" s="842" t="s">
        <v>2417</v>
      </c>
      <c r="I3807" s="1041">
        <v>1.04</v>
      </c>
      <c r="J3807" s="10"/>
      <c r="K3807" s="700">
        <f>+E3807*G3807*I3807</f>
        <v>63423.360000000001</v>
      </c>
      <c r="L3807" s="5"/>
      <c r="M3807" s="419"/>
      <c r="N3807" s="671"/>
      <c r="O3807"/>
      <c r="P3807" s="412"/>
      <c r="Q3807" s="391"/>
      <c r="R3807" s="393"/>
    </row>
    <row r="3808" spans="1:18" ht="30" customHeight="1" x14ac:dyDescent="0.25">
      <c r="A3808" s="10" t="s">
        <v>2375</v>
      </c>
      <c r="B3808" s="323" t="s">
        <v>2419</v>
      </c>
      <c r="C3808" s="324"/>
      <c r="D3808" s="325"/>
      <c r="E3808" s="1458">
        <f>+(2925+4975)/2</f>
        <v>3950</v>
      </c>
      <c r="F3808" s="697" t="s">
        <v>11</v>
      </c>
      <c r="G3808" s="1168"/>
      <c r="H3808" s="1041"/>
      <c r="I3808" s="1459">
        <v>1.03</v>
      </c>
      <c r="J3808" s="10"/>
      <c r="K3808" s="326">
        <f>+E3808*I3808</f>
        <v>4068.5</v>
      </c>
      <c r="L3808" s="5"/>
      <c r="M3808" s="419"/>
      <c r="N3808" s="420"/>
      <c r="O3808"/>
      <c r="P3808" s="412"/>
      <c r="Q3808" s="391"/>
      <c r="R3808" s="393"/>
    </row>
    <row r="3809" spans="1:18" ht="30" customHeight="1" x14ac:dyDescent="0.25">
      <c r="A3809" s="10" t="s">
        <v>2226</v>
      </c>
      <c r="B3809" s="346" t="s">
        <v>2420</v>
      </c>
      <c r="C3809" s="347"/>
      <c r="D3809" s="348"/>
      <c r="E3809" s="1460">
        <f>(3375+8750)/2</f>
        <v>6062.5</v>
      </c>
      <c r="F3809" s="697" t="s">
        <v>11</v>
      </c>
      <c r="G3809" s="1168"/>
      <c r="H3809" s="1041"/>
      <c r="I3809" s="1459">
        <v>1.04</v>
      </c>
      <c r="J3809" s="10"/>
      <c r="K3809" s="700">
        <f>E3809*I3809</f>
        <v>6305</v>
      </c>
      <c r="L3809" s="5"/>
      <c r="M3809" s="419"/>
      <c r="N3809" s="420"/>
      <c r="O3809"/>
      <c r="P3809" s="412"/>
      <c r="Q3809" s="391"/>
      <c r="R3809" s="393"/>
    </row>
    <row r="3810" spans="1:18" s="49" customFormat="1" ht="30" customHeight="1" x14ac:dyDescent="0.25">
      <c r="A3810" s="10" t="s">
        <v>2331</v>
      </c>
      <c r="B3810" s="346" t="s">
        <v>2421</v>
      </c>
      <c r="C3810" s="347"/>
      <c r="D3810" s="348"/>
      <c r="E3810" s="1458">
        <v>21.5</v>
      </c>
      <c r="F3810" s="697" t="s">
        <v>7</v>
      </c>
      <c r="G3810" s="1168">
        <v>250</v>
      </c>
      <c r="H3810" s="1041" t="s">
        <v>7</v>
      </c>
      <c r="I3810" s="1041">
        <v>1.04</v>
      </c>
      <c r="J3810" s="10"/>
      <c r="K3810" s="700">
        <f>+E3810*G3810*I3810</f>
        <v>5590</v>
      </c>
      <c r="L3810" s="5"/>
      <c r="M3810" s="425"/>
      <c r="N3810" s="420"/>
      <c r="P3810" s="412"/>
      <c r="Q3810" s="391"/>
      <c r="R3810" s="393"/>
    </row>
    <row r="3811" spans="1:18" ht="30" customHeight="1" x14ac:dyDescent="0.25">
      <c r="A3811" s="10" t="s">
        <v>2389</v>
      </c>
      <c r="B3811" s="323" t="s">
        <v>2422</v>
      </c>
      <c r="C3811" s="324"/>
      <c r="D3811" s="325"/>
      <c r="E3811" s="699">
        <f>+(67+89.5)/2</f>
        <v>78.25</v>
      </c>
      <c r="F3811" s="5" t="s">
        <v>2391</v>
      </c>
      <c r="G3811" s="844">
        <v>600</v>
      </c>
      <c r="H3811" s="842" t="s">
        <v>2423</v>
      </c>
      <c r="I3811" s="886">
        <v>1.03</v>
      </c>
      <c r="J3811" s="10"/>
      <c r="K3811" s="700">
        <f>+E3811*G3811*I3811</f>
        <v>48358.5</v>
      </c>
      <c r="L3811" s="5"/>
      <c r="M3811" s="419"/>
      <c r="N3811" s="420"/>
      <c r="O3811"/>
      <c r="P3811" s="412"/>
      <c r="Q3811" s="391"/>
      <c r="R3811" s="393"/>
    </row>
    <row r="3812" spans="1:18" ht="30" customHeight="1" x14ac:dyDescent="0.25">
      <c r="A3812" s="10"/>
      <c r="B3812" s="323" t="s">
        <v>2424</v>
      </c>
      <c r="C3812" s="324"/>
      <c r="D3812" s="325"/>
      <c r="E3812" s="699"/>
      <c r="F3812" s="5"/>
      <c r="G3812" s="844"/>
      <c r="H3812" s="842"/>
      <c r="I3812" s="10"/>
      <c r="J3812" s="10"/>
      <c r="K3812" s="700">
        <f>SUM(K3806:K3811)</f>
        <v>170556.128</v>
      </c>
      <c r="L3812" s="5" t="s">
        <v>11</v>
      </c>
      <c r="M3812" s="670"/>
      <c r="N3812" s="420"/>
      <c r="O3812"/>
      <c r="P3812" s="412"/>
      <c r="Q3812" s="391"/>
      <c r="R3812" s="393"/>
    </row>
    <row r="3813" spans="1:18" ht="30" customHeight="1" x14ac:dyDescent="0.25">
      <c r="A3813" s="10"/>
      <c r="B3813" s="323" t="s">
        <v>2425</v>
      </c>
      <c r="C3813" s="324"/>
      <c r="D3813" s="325"/>
      <c r="E3813" s="699"/>
      <c r="F3813" s="5"/>
      <c r="G3813" s="844"/>
      <c r="H3813" s="842"/>
      <c r="I3813" s="10"/>
      <c r="J3813" s="10"/>
      <c r="K3813" s="700"/>
      <c r="L3813" s="10"/>
      <c r="M3813" s="670"/>
      <c r="N3813" s="420"/>
      <c r="O3813" s="43"/>
      <c r="P3813" s="672"/>
      <c r="Q3813" s="671"/>
      <c r="R3813" s="673"/>
    </row>
    <row r="3814" spans="1:18" ht="30" customHeight="1" x14ac:dyDescent="0.25">
      <c r="A3814" s="10" t="s">
        <v>906</v>
      </c>
      <c r="B3814" s="323" t="s">
        <v>2426</v>
      </c>
      <c r="C3814" s="324"/>
      <c r="D3814" s="325"/>
      <c r="E3814" s="699">
        <v>0.4</v>
      </c>
      <c r="F3814" s="5" t="s">
        <v>9</v>
      </c>
      <c r="G3814" s="841">
        <v>41200</v>
      </c>
      <c r="H3814" s="5" t="s">
        <v>9</v>
      </c>
      <c r="I3814" s="10">
        <v>1.04</v>
      </c>
      <c r="J3814" s="10"/>
      <c r="K3814" s="700">
        <f>+E3814*G3814*I3814</f>
        <v>17139.2</v>
      </c>
      <c r="L3814" s="5" t="s">
        <v>11</v>
      </c>
      <c r="M3814" s="419"/>
      <c r="N3814" s="671"/>
      <c r="O3814" s="43"/>
      <c r="P3814" s="672"/>
      <c r="Q3814" s="671"/>
      <c r="R3814" s="673"/>
    </row>
    <row r="3815" spans="1:18" ht="30" customHeight="1" x14ac:dyDescent="0.25">
      <c r="A3815" s="10"/>
      <c r="B3815" s="323" t="s">
        <v>2427</v>
      </c>
      <c r="C3815" s="324"/>
      <c r="D3815" s="325"/>
      <c r="E3815" s="699"/>
      <c r="F3815" s="697"/>
      <c r="G3815" s="844"/>
      <c r="H3815" s="842"/>
      <c r="I3815" s="10"/>
      <c r="J3815" s="10"/>
      <c r="K3815" s="700"/>
      <c r="L3815" s="10"/>
      <c r="M3815" s="419"/>
      <c r="N3815" s="671"/>
      <c r="O3815"/>
      <c r="P3815" s="412"/>
      <c r="Q3815" s="391"/>
      <c r="R3815" s="393"/>
    </row>
    <row r="3816" spans="1:18" ht="30" customHeight="1" x14ac:dyDescent="0.25">
      <c r="A3816" s="10" t="s">
        <v>906</v>
      </c>
      <c r="B3816" s="323" t="s">
        <v>2426</v>
      </c>
      <c r="C3816" s="324"/>
      <c r="D3816" s="325"/>
      <c r="E3816" s="699">
        <v>0.4</v>
      </c>
      <c r="F3816" s="5" t="s">
        <v>9</v>
      </c>
      <c r="G3816" s="841">
        <v>75250</v>
      </c>
      <c r="H3816" s="5" t="s">
        <v>9</v>
      </c>
      <c r="I3816" s="10">
        <v>1.04</v>
      </c>
      <c r="J3816" s="10"/>
      <c r="K3816" s="700">
        <f>+E3816*G3816*I3816</f>
        <v>31304</v>
      </c>
      <c r="L3816" s="5" t="s">
        <v>11</v>
      </c>
      <c r="M3816" s="419"/>
      <c r="N3816" s="420"/>
      <c r="O3816"/>
      <c r="P3816" s="412"/>
      <c r="Q3816" s="391"/>
      <c r="R3816" s="393"/>
    </row>
    <row r="3817" spans="1:18" ht="30" customHeight="1" x14ac:dyDescent="0.25">
      <c r="A3817" s="10"/>
      <c r="B3817" s="323" t="s">
        <v>2428</v>
      </c>
      <c r="C3817" s="324"/>
      <c r="D3817" s="325"/>
      <c r="E3817" s="699"/>
      <c r="F3817" s="697"/>
      <c r="G3817" s="841"/>
      <c r="H3817" s="842"/>
      <c r="I3817" s="10"/>
      <c r="J3817" s="10"/>
      <c r="K3817" s="700"/>
      <c r="L3817" s="5"/>
      <c r="M3817" s="425"/>
      <c r="N3817" s="420"/>
      <c r="O3817"/>
      <c r="P3817" s="412"/>
      <c r="Q3817" s="391"/>
      <c r="R3817" s="393"/>
    </row>
    <row r="3818" spans="1:18" ht="30" customHeight="1" x14ac:dyDescent="0.25">
      <c r="A3818" s="10" t="s">
        <v>906</v>
      </c>
      <c r="B3818" s="346" t="s">
        <v>2429</v>
      </c>
      <c r="C3818" s="347"/>
      <c r="D3818" s="348"/>
      <c r="E3818" s="1461">
        <v>0.27</v>
      </c>
      <c r="F3818" s="5" t="s">
        <v>9</v>
      </c>
      <c r="G3818" s="841">
        <v>63360</v>
      </c>
      <c r="H3818" s="1041" t="s">
        <v>565</v>
      </c>
      <c r="I3818" s="10">
        <v>1.04</v>
      </c>
      <c r="J3818" s="10"/>
      <c r="K3818" s="700">
        <f>+E3818*G3818*I3818</f>
        <v>17791.488000000001</v>
      </c>
      <c r="L3818" s="5" t="s">
        <v>11</v>
      </c>
      <c r="M3818" s="419"/>
      <c r="N3818" s="420"/>
      <c r="O3818"/>
      <c r="P3818" s="412"/>
      <c r="Q3818" s="391"/>
      <c r="R3818" s="393"/>
    </row>
    <row r="3819" spans="1:18" s="49" customFormat="1" ht="30" customHeight="1" x14ac:dyDescent="0.25">
      <c r="A3819" s="10" t="s">
        <v>906</v>
      </c>
      <c r="B3819" s="346" t="s">
        <v>2430</v>
      </c>
      <c r="C3819" s="347"/>
      <c r="D3819" s="348"/>
      <c r="E3819" s="1461">
        <v>0.41</v>
      </c>
      <c r="F3819" s="5" t="s">
        <v>9</v>
      </c>
      <c r="G3819" s="841">
        <v>63360</v>
      </c>
      <c r="H3819" s="1041" t="s">
        <v>565</v>
      </c>
      <c r="I3819" s="10">
        <v>1.04</v>
      </c>
      <c r="J3819" s="10"/>
      <c r="K3819" s="700">
        <f>+E3819*G3819*I3819</f>
        <v>27016.703999999998</v>
      </c>
      <c r="L3819" s="5" t="s">
        <v>11</v>
      </c>
      <c r="M3819" s="419"/>
      <c r="N3819" s="420"/>
      <c r="P3819" s="412"/>
      <c r="Q3819" s="391"/>
      <c r="R3819" s="393"/>
    </row>
    <row r="3820" spans="1:18" ht="30" customHeight="1" x14ac:dyDescent="0.25">
      <c r="A3820" s="10" t="s">
        <v>906</v>
      </c>
      <c r="B3820" s="346" t="s">
        <v>2431</v>
      </c>
      <c r="C3820" s="347"/>
      <c r="D3820" s="348"/>
      <c r="E3820" s="1461">
        <v>3.31</v>
      </c>
      <c r="F3820" s="5" t="s">
        <v>7</v>
      </c>
      <c r="G3820" s="841">
        <v>21120</v>
      </c>
      <c r="H3820" s="1041" t="s">
        <v>748</v>
      </c>
      <c r="I3820" s="10">
        <v>1.04</v>
      </c>
      <c r="J3820" s="10"/>
      <c r="K3820" s="700">
        <f>+E3820*G3820*I3820</f>
        <v>72703.487999999998</v>
      </c>
      <c r="L3820" s="5" t="s">
        <v>11</v>
      </c>
      <c r="M3820" s="670"/>
      <c r="N3820" s="420"/>
      <c r="O3820"/>
      <c r="P3820" s="412"/>
      <c r="Q3820" s="391"/>
      <c r="R3820" s="393"/>
    </row>
    <row r="3821" spans="1:18" ht="30" customHeight="1" x14ac:dyDescent="0.25">
      <c r="A3821" s="1056"/>
      <c r="B3821" s="1462" t="s">
        <v>2432</v>
      </c>
      <c r="C3821" s="1463"/>
      <c r="D3821" s="1464"/>
      <c r="E3821" s="1465"/>
      <c r="F3821" s="1466"/>
      <c r="G3821" s="10"/>
      <c r="H3821" s="10"/>
      <c r="I3821" s="1056"/>
      <c r="J3821" s="1056"/>
      <c r="K3821" s="1467">
        <f>SUM(K3818:K3820)</f>
        <v>117511.67999999999</v>
      </c>
      <c r="L3821" s="5" t="s">
        <v>11</v>
      </c>
      <c r="M3821" s="670"/>
      <c r="N3821" s="420"/>
      <c r="O3821"/>
      <c r="P3821" s="412"/>
      <c r="Q3821" s="391"/>
      <c r="R3821" s="393"/>
    </row>
    <row r="3822" spans="1:18" ht="30" customHeight="1" x14ac:dyDescent="0.25">
      <c r="A3822" s="13"/>
      <c r="B3822" s="435"/>
      <c r="C3822" s="436"/>
      <c r="D3822" s="437"/>
      <c r="E3822" s="13"/>
      <c r="F3822" s="13"/>
      <c r="G3822" s="13"/>
      <c r="H3822" s="13"/>
      <c r="I3822" s="441" t="s">
        <v>2433</v>
      </c>
      <c r="J3822" s="442"/>
      <c r="K3822" s="429">
        <f>+K3803+K3804+K3812+K3814+K3816+K3821</f>
        <v>685679.97799999989</v>
      </c>
      <c r="L3822" s="5" t="s">
        <v>11</v>
      </c>
      <c r="M3822" s="419"/>
      <c r="N3822" s="671"/>
      <c r="O3822"/>
      <c r="P3822" s="412"/>
      <c r="Q3822" s="391"/>
      <c r="R3822" s="393"/>
    </row>
    <row r="3823" spans="1:18" ht="30" customHeight="1" x14ac:dyDescent="0.25">
      <c r="A3823" s="1468"/>
      <c r="B3823" s="1469" t="s">
        <v>2434</v>
      </c>
      <c r="C3823" s="1470"/>
      <c r="D3823" s="1471"/>
      <c r="E3823" s="700"/>
      <c r="F3823" s="5"/>
      <c r="G3823" s="1472"/>
      <c r="H3823" s="5"/>
      <c r="I3823" s="441" t="s">
        <v>2435</v>
      </c>
      <c r="J3823" s="442"/>
      <c r="K3823" s="700">
        <f>+K3822/6</f>
        <v>114279.99633333331</v>
      </c>
      <c r="L3823" s="5" t="s">
        <v>11</v>
      </c>
      <c r="M3823" s="419"/>
      <c r="N3823" s="671"/>
      <c r="O3823" s="43"/>
      <c r="P3823" s="672"/>
      <c r="Q3823" s="671"/>
      <c r="R3823" s="673"/>
    </row>
    <row r="3824" spans="1:18" ht="30" customHeight="1" x14ac:dyDescent="0.25">
      <c r="A3824" s="20"/>
      <c r="B3824" s="410"/>
      <c r="C3824" s="410"/>
      <c r="D3824" s="410"/>
      <c r="E3824" s="405"/>
      <c r="F3824" s="338" t="s">
        <v>533</v>
      </c>
      <c r="G3824" s="339" t="s">
        <v>534</v>
      </c>
      <c r="H3824" s="339"/>
      <c r="I3824" s="339"/>
      <c r="J3824" s="339"/>
      <c r="K3824" s="340">
        <v>1.07</v>
      </c>
      <c r="L3824" s="10"/>
      <c r="M3824" s="419"/>
      <c r="N3824" s="420"/>
      <c r="O3824" s="43"/>
      <c r="P3824" s="672"/>
      <c r="Q3824" s="671"/>
      <c r="R3824" s="673"/>
    </row>
    <row r="3825" spans="1:18" ht="30" customHeight="1" x14ac:dyDescent="0.25">
      <c r="A3825" s="20"/>
      <c r="B3825" s="410"/>
      <c r="C3825" s="410"/>
      <c r="D3825" s="410"/>
      <c r="E3825" s="405"/>
      <c r="F3825" s="343"/>
      <c r="G3825" s="344" t="s">
        <v>535</v>
      </c>
      <c r="H3825" s="344"/>
      <c r="I3825" s="344"/>
      <c r="J3825" s="344"/>
      <c r="K3825" s="340">
        <v>1.02</v>
      </c>
      <c r="L3825" s="10"/>
      <c r="M3825" s="419"/>
      <c r="N3825" s="420"/>
      <c r="O3825" s="43"/>
      <c r="P3825" s="672"/>
      <c r="Q3825" s="671"/>
      <c r="R3825" s="673"/>
    </row>
    <row r="3826" spans="1:18" ht="30" customHeight="1" x14ac:dyDescent="0.25">
      <c r="A3826" s="10"/>
      <c r="B3826" s="1473"/>
      <c r="C3826" s="1474"/>
      <c r="D3826" s="1475"/>
      <c r="E3826" s="13"/>
      <c r="F3826" s="13"/>
      <c r="G3826" s="13"/>
      <c r="H3826" s="13"/>
      <c r="I3826" s="13"/>
      <c r="J3826" s="333" t="s">
        <v>358</v>
      </c>
      <c r="K3826" s="1476">
        <f>+K3823*K3824/K3825</f>
        <v>119881.95693790849</v>
      </c>
      <c r="L3826" s="333" t="s">
        <v>11</v>
      </c>
      <c r="M3826" s="425"/>
      <c r="N3826" s="420"/>
      <c r="O3826"/>
      <c r="P3826" s="412"/>
      <c r="Q3826" s="391"/>
      <c r="R3826" s="393"/>
    </row>
    <row r="3827" spans="1:18" ht="30" customHeight="1" x14ac:dyDescent="0.25">
      <c r="A3827" s="10"/>
      <c r="B3827" s="1477"/>
      <c r="C3827" s="1478"/>
      <c r="D3827" s="1479"/>
      <c r="E3827" s="13"/>
      <c r="F3827" s="13"/>
      <c r="G3827" s="573" t="s">
        <v>652</v>
      </c>
      <c r="H3827" s="13"/>
      <c r="I3827" s="13"/>
      <c r="J3827" s="361">
        <f>VLOOKUP(B3801,'Mil Cost Premiums for RUCs'!$A$4:$R$265,18,FALSE)</f>
        <v>1.0485669999999998</v>
      </c>
      <c r="K3827" s="1476">
        <f>+K3826*J3827</f>
        <v>125704.26394051187</v>
      </c>
      <c r="L3827" s="333" t="s">
        <v>11</v>
      </c>
      <c r="M3827" s="419"/>
      <c r="N3827" s="420"/>
      <c r="O3827"/>
      <c r="P3827" s="412"/>
      <c r="Q3827" s="391"/>
      <c r="R3827" s="393"/>
    </row>
    <row r="3828" spans="1:18" ht="75" customHeight="1" x14ac:dyDescent="0.25">
      <c r="A3828" s="580" t="s">
        <v>538</v>
      </c>
      <c r="B3828" s="532"/>
      <c r="C3828" s="532"/>
      <c r="D3828" s="532"/>
      <c r="E3828" s="532"/>
      <c r="F3828" s="532"/>
      <c r="G3828" s="532"/>
      <c r="H3828" s="532"/>
      <c r="I3828" s="532"/>
      <c r="J3828" s="532"/>
      <c r="K3828" s="532"/>
      <c r="L3828" s="533"/>
      <c r="M3828" s="419"/>
      <c r="N3828" s="420"/>
      <c r="O3828"/>
      <c r="P3828" s="412"/>
      <c r="Q3828" s="391"/>
      <c r="R3828" s="393"/>
    </row>
    <row r="3829" spans="1:18" ht="30" customHeight="1" x14ac:dyDescent="0.25">
      <c r="A3829" s="217" t="s">
        <v>539</v>
      </c>
      <c r="B3829" s="218"/>
      <c r="C3829" s="219"/>
      <c r="D3829" s="577" t="s">
        <v>2436</v>
      </c>
      <c r="E3829" s="578"/>
      <c r="F3829" s="578"/>
      <c r="G3829" s="578"/>
      <c r="H3829" s="578"/>
      <c r="I3829" s="578"/>
      <c r="J3829" s="578"/>
      <c r="K3829" s="578"/>
      <c r="L3829" s="579"/>
      <c r="M3829" s="419"/>
      <c r="N3829" s="420"/>
      <c r="O3829"/>
      <c r="P3829" s="412"/>
      <c r="Q3829" s="391"/>
      <c r="R3829" s="393"/>
    </row>
    <row r="3830" spans="1:18" s="502" customFormat="1" ht="30" customHeight="1" x14ac:dyDescent="0.25">
      <c r="A3830" s="476" t="s">
        <v>541</v>
      </c>
      <c r="B3830" s="477"/>
      <c r="C3830" s="478"/>
      <c r="D3830" s="577" t="s">
        <v>2437</v>
      </c>
      <c r="E3830" s="578"/>
      <c r="F3830" s="578"/>
      <c r="G3830" s="578"/>
      <c r="H3830" s="578"/>
      <c r="I3830" s="578"/>
      <c r="J3830" s="578"/>
      <c r="K3830" s="578"/>
      <c r="L3830" s="579"/>
      <c r="M3830" s="1480"/>
      <c r="N3830" s="420"/>
      <c r="P3830" s="566"/>
      <c r="Q3830" s="420"/>
      <c r="R3830" s="567"/>
    </row>
    <row r="3831" spans="1:18" ht="30" customHeight="1" x14ac:dyDescent="0.25">
      <c r="A3831" s="217" t="s">
        <v>543</v>
      </c>
      <c r="B3831" s="218"/>
      <c r="C3831" s="219"/>
      <c r="D3831" s="577" t="s">
        <v>2438</v>
      </c>
      <c r="E3831" s="578"/>
      <c r="F3831" s="578"/>
      <c r="G3831" s="578"/>
      <c r="H3831" s="578"/>
      <c r="I3831" s="578"/>
      <c r="J3831" s="578"/>
      <c r="K3831" s="578"/>
      <c r="L3831" s="579"/>
      <c r="M3831" s="1480"/>
      <c r="N3831" s="420"/>
      <c r="O3831"/>
      <c r="P3831" s="412"/>
      <c r="Q3831" s="391"/>
      <c r="R3831" s="393"/>
    </row>
    <row r="3832" spans="1:18" ht="30" customHeight="1" x14ac:dyDescent="0.25">
      <c r="A3832" s="217" t="s">
        <v>546</v>
      </c>
      <c r="B3832" s="218"/>
      <c r="C3832" s="219"/>
      <c r="D3832" s="577" t="s">
        <v>2439</v>
      </c>
      <c r="E3832" s="578"/>
      <c r="F3832" s="578"/>
      <c r="G3832" s="578"/>
      <c r="H3832" s="578"/>
      <c r="I3832" s="578"/>
      <c r="J3832" s="578"/>
      <c r="K3832" s="578"/>
      <c r="L3832" s="579"/>
      <c r="M3832" s="670"/>
      <c r="N3832" s="671"/>
      <c r="O3832"/>
      <c r="P3832" s="412"/>
      <c r="Q3832" s="391"/>
      <c r="R3832" s="393"/>
    </row>
    <row r="3833" spans="1:18" ht="30" customHeight="1" x14ac:dyDescent="0.25">
      <c r="A3833" s="217" t="s">
        <v>548</v>
      </c>
      <c r="B3833" s="218"/>
      <c r="C3833" s="219"/>
      <c r="D3833" s="577" t="s">
        <v>2440</v>
      </c>
      <c r="E3833" s="578"/>
      <c r="F3833" s="578"/>
      <c r="G3833" s="578"/>
      <c r="H3833" s="578"/>
      <c r="I3833" s="578"/>
      <c r="J3833" s="578"/>
      <c r="K3833" s="578"/>
      <c r="L3833" s="579"/>
      <c r="M3833" s="419"/>
      <c r="N3833" s="671"/>
      <c r="O3833"/>
      <c r="P3833" s="412"/>
      <c r="Q3833" s="391"/>
      <c r="R3833" s="393"/>
    </row>
    <row r="3834" spans="1:18" ht="30" customHeight="1" x14ac:dyDescent="0.25">
      <c r="A3834" s="217" t="s">
        <v>550</v>
      </c>
      <c r="B3834" s="218"/>
      <c r="C3834" s="219"/>
      <c r="D3834" s="577" t="s">
        <v>2441</v>
      </c>
      <c r="E3834" s="578"/>
      <c r="F3834" s="578"/>
      <c r="G3834" s="578"/>
      <c r="H3834" s="578"/>
      <c r="I3834" s="578"/>
      <c r="J3834" s="578"/>
      <c r="K3834" s="578"/>
      <c r="L3834" s="579"/>
      <c r="M3834" s="419"/>
      <c r="N3834" s="671"/>
      <c r="O3834"/>
      <c r="P3834" s="412"/>
      <c r="Q3834" s="391"/>
      <c r="R3834" s="393"/>
    </row>
    <row r="3835" spans="1:18" ht="30" customHeight="1" x14ac:dyDescent="0.25">
      <c r="A3835" s="217" t="s">
        <v>552</v>
      </c>
      <c r="B3835" s="218"/>
      <c r="C3835" s="219"/>
      <c r="D3835" s="577" t="s">
        <v>2442</v>
      </c>
      <c r="E3835" s="578"/>
      <c r="F3835" s="578"/>
      <c r="G3835" s="578"/>
      <c r="H3835" s="578"/>
      <c r="I3835" s="578"/>
      <c r="J3835" s="578"/>
      <c r="K3835" s="578"/>
      <c r="L3835" s="579"/>
      <c r="M3835" s="419"/>
      <c r="N3835" s="420"/>
      <c r="O3835"/>
      <c r="P3835" s="412"/>
      <c r="Q3835" s="391"/>
      <c r="R3835" s="393"/>
    </row>
    <row r="3836" spans="1:18" ht="45" customHeight="1" x14ac:dyDescent="0.25">
      <c r="A3836" s="217" t="s">
        <v>553</v>
      </c>
      <c r="B3836" s="218"/>
      <c r="C3836" s="219"/>
      <c r="D3836" s="386" t="s">
        <v>1853</v>
      </c>
      <c r="E3836" s="849"/>
      <c r="F3836" s="849"/>
      <c r="G3836" s="849"/>
      <c r="H3836" s="849"/>
      <c r="I3836" s="849"/>
      <c r="J3836" s="849"/>
      <c r="K3836" s="849"/>
      <c r="L3836" s="850"/>
      <c r="M3836" s="419"/>
      <c r="N3836" s="420"/>
      <c r="O3836"/>
      <c r="P3836" s="412"/>
      <c r="Q3836" s="391"/>
      <c r="R3836" s="393"/>
    </row>
    <row r="3837" spans="1:18" ht="156" customHeight="1" thickBot="1" x14ac:dyDescent="0.3">
      <c r="A3837" s="1282" t="s">
        <v>556</v>
      </c>
      <c r="B3837" s="1283"/>
      <c r="C3837" s="1284"/>
      <c r="D3837" s="577" t="s">
        <v>3405</v>
      </c>
      <c r="E3837" s="578"/>
      <c r="F3837" s="578"/>
      <c r="G3837" s="578"/>
      <c r="H3837" s="578"/>
      <c r="I3837" s="578"/>
      <c r="J3837" s="578"/>
      <c r="K3837" s="578"/>
      <c r="L3837" s="579"/>
      <c r="M3837" s="425"/>
      <c r="N3837" s="420"/>
      <c r="O3837"/>
      <c r="P3837" s="412"/>
      <c r="Q3837" s="391"/>
      <c r="R3837" s="393"/>
    </row>
    <row r="3838" spans="1:18" ht="30" customHeight="1" thickBot="1" x14ac:dyDescent="0.3">
      <c r="A3838" s="76"/>
      <c r="B3838" s="77"/>
      <c r="C3838" s="77"/>
      <c r="D3838" s="77"/>
      <c r="E3838" s="77"/>
      <c r="F3838" s="77"/>
      <c r="G3838" s="77"/>
      <c r="H3838" s="77"/>
      <c r="I3838" s="77"/>
      <c r="J3838" s="77"/>
      <c r="K3838" s="77"/>
      <c r="L3838" s="78"/>
      <c r="M3838" s="419"/>
      <c r="N3838" s="420"/>
      <c r="O3838"/>
      <c r="P3838" s="412"/>
      <c r="Q3838" s="391"/>
      <c r="R3838" s="393"/>
    </row>
    <row r="3839" spans="1:18" ht="30" customHeight="1" x14ac:dyDescent="0.25">
      <c r="A3839" s="30" t="s">
        <v>288</v>
      </c>
      <c r="B3839" s="208">
        <v>7601</v>
      </c>
      <c r="C3839" s="209" t="s">
        <v>2443</v>
      </c>
      <c r="D3839" s="210"/>
      <c r="E3839" s="177" t="s">
        <v>291</v>
      </c>
      <c r="F3839" s="178" t="s">
        <v>9</v>
      </c>
      <c r="G3839" s="123" t="s">
        <v>375</v>
      </c>
      <c r="H3839" s="179">
        <v>10229</v>
      </c>
      <c r="I3839" s="177" t="s">
        <v>292</v>
      </c>
      <c r="J3839" s="38" t="s">
        <v>883</v>
      </c>
      <c r="K3839" s="38"/>
      <c r="L3839" s="389"/>
      <c r="M3839" s="419"/>
      <c r="N3839" s="420"/>
      <c r="O3839"/>
      <c r="P3839" s="412"/>
      <c r="Q3839" s="391"/>
      <c r="R3839" s="393"/>
    </row>
    <row r="3840" spans="1:18" ht="30" customHeight="1" x14ac:dyDescent="0.25">
      <c r="A3840" s="48" t="s">
        <v>529</v>
      </c>
      <c r="B3840" s="394" t="s">
        <v>560</v>
      </c>
      <c r="C3840" s="395"/>
      <c r="D3840" s="396"/>
      <c r="E3840" s="397" t="s">
        <v>519</v>
      </c>
      <c r="F3840" s="397" t="s">
        <v>561</v>
      </c>
      <c r="G3840" s="398" t="s">
        <v>562</v>
      </c>
      <c r="H3840" s="399"/>
      <c r="I3840" s="181" t="s">
        <v>530</v>
      </c>
      <c r="J3840" s="181"/>
      <c r="K3840" s="493" t="s">
        <v>521</v>
      </c>
      <c r="L3840" s="494"/>
      <c r="M3840" s="419"/>
      <c r="N3840" s="420"/>
      <c r="O3840"/>
      <c r="P3840" s="412"/>
      <c r="Q3840" s="391"/>
      <c r="R3840" s="393"/>
    </row>
    <row r="3841" spans="1:18" ht="30" customHeight="1" x14ac:dyDescent="0.25">
      <c r="A3841" s="61" t="s">
        <v>2444</v>
      </c>
      <c r="B3841" s="503" t="s">
        <v>2445</v>
      </c>
      <c r="C3841" s="504"/>
      <c r="D3841" s="505"/>
      <c r="E3841" s="760">
        <v>192</v>
      </c>
      <c r="F3841" s="22" t="s">
        <v>9</v>
      </c>
      <c r="G3841" s="1112"/>
      <c r="H3841" s="758"/>
      <c r="I3841" s="20">
        <v>1.04</v>
      </c>
      <c r="J3841" s="20"/>
      <c r="K3841" s="756">
        <f>+E3841*I3841</f>
        <v>199.68</v>
      </c>
      <c r="L3841" s="22" t="s">
        <v>9</v>
      </c>
      <c r="M3841" s="419"/>
      <c r="N3841" s="420"/>
      <c r="O3841"/>
      <c r="P3841" s="412"/>
      <c r="Q3841" s="391"/>
      <c r="R3841" s="393"/>
    </row>
    <row r="3842" spans="1:18" ht="30" customHeight="1" x14ac:dyDescent="0.25">
      <c r="A3842" s="1336" t="s">
        <v>2283</v>
      </c>
      <c r="B3842" s="503" t="s">
        <v>2446</v>
      </c>
      <c r="C3842" s="504"/>
      <c r="D3842" s="505"/>
      <c r="E3842" s="760">
        <v>4.0599999999999996</v>
      </c>
      <c r="F3842" s="22" t="s">
        <v>9</v>
      </c>
      <c r="G3842" s="1112"/>
      <c r="H3842" s="758"/>
      <c r="I3842" s="20">
        <v>1.04</v>
      </c>
      <c r="J3842" s="20"/>
      <c r="K3842" s="756">
        <f>+E3842*I3842</f>
        <v>4.2223999999999995</v>
      </c>
      <c r="L3842" s="22" t="s">
        <v>9</v>
      </c>
      <c r="M3842" s="419"/>
      <c r="N3842" s="420"/>
      <c r="O3842"/>
      <c r="P3842" s="412"/>
      <c r="Q3842" s="391"/>
      <c r="R3842" s="393"/>
    </row>
    <row r="3843" spans="1:18" ht="30" customHeight="1" x14ac:dyDescent="0.25">
      <c r="A3843" s="1334"/>
      <c r="B3843" s="503"/>
      <c r="C3843" s="504"/>
      <c r="D3843" s="505"/>
      <c r="E3843" s="405"/>
      <c r="F3843" s="22"/>
      <c r="G3843" s="730"/>
      <c r="H3843" s="649"/>
      <c r="I3843" s="20"/>
      <c r="J3843" s="20" t="s">
        <v>578</v>
      </c>
      <c r="K3843" s="23">
        <f>SUM(K3841:K3842)</f>
        <v>203.9024</v>
      </c>
      <c r="L3843" s="20" t="s">
        <v>9</v>
      </c>
      <c r="M3843" s="419"/>
      <c r="N3843" s="420"/>
      <c r="O3843"/>
      <c r="P3843" s="412"/>
      <c r="Q3843" s="391"/>
      <c r="R3843" s="393"/>
    </row>
    <row r="3844" spans="1:18" ht="30" customHeight="1" x14ac:dyDescent="0.25">
      <c r="A3844" s="61"/>
      <c r="B3844" s="410"/>
      <c r="C3844" s="410"/>
      <c r="D3844" s="410"/>
      <c r="E3844" s="405"/>
      <c r="F3844" s="338" t="s">
        <v>533</v>
      </c>
      <c r="G3844" s="339" t="s">
        <v>534</v>
      </c>
      <c r="H3844" s="339"/>
      <c r="I3844" s="339"/>
      <c r="J3844" s="339"/>
      <c r="K3844" s="340">
        <v>1.07</v>
      </c>
      <c r="L3844" s="10"/>
      <c r="M3844" s="419"/>
      <c r="N3844" s="420"/>
      <c r="O3844"/>
      <c r="P3844" s="412"/>
      <c r="Q3844" s="391"/>
      <c r="R3844" s="393"/>
    </row>
    <row r="3845" spans="1:18" ht="30" customHeight="1" x14ac:dyDescent="0.25">
      <c r="A3845" s="61"/>
      <c r="B3845" s="410"/>
      <c r="C3845" s="410"/>
      <c r="D3845" s="410"/>
      <c r="E3845" s="405"/>
      <c r="F3845" s="343"/>
      <c r="G3845" s="344" t="s">
        <v>535</v>
      </c>
      <c r="H3845" s="344"/>
      <c r="I3845" s="344"/>
      <c r="J3845" s="344"/>
      <c r="K3845" s="340">
        <v>1.02</v>
      </c>
      <c r="L3845" s="10"/>
      <c r="M3845" s="419"/>
      <c r="N3845" s="420"/>
      <c r="O3845"/>
      <c r="P3845" s="412"/>
      <c r="Q3845" s="391"/>
      <c r="R3845" s="393"/>
    </row>
    <row r="3846" spans="1:18" ht="30" customHeight="1" x14ac:dyDescent="0.25">
      <c r="A3846" s="1334"/>
      <c r="B3846" s="503"/>
      <c r="C3846" s="504"/>
      <c r="D3846" s="505"/>
      <c r="E3846" s="405"/>
      <c r="F3846" s="22"/>
      <c r="G3846" s="730"/>
      <c r="H3846" s="649"/>
      <c r="I3846" s="20"/>
      <c r="J3846" s="20" t="s">
        <v>358</v>
      </c>
      <c r="K3846" s="23">
        <f>+K3843*K3844/K3845</f>
        <v>213.89761568627452</v>
      </c>
      <c r="L3846" s="20" t="s">
        <v>9</v>
      </c>
      <c r="M3846" s="419"/>
      <c r="N3846" s="420"/>
      <c r="O3846"/>
      <c r="P3846" s="412"/>
      <c r="Q3846" s="391"/>
      <c r="R3846" s="393"/>
    </row>
    <row r="3847" spans="1:18" ht="30" customHeight="1" thickBot="1" x14ac:dyDescent="0.3">
      <c r="A3847" s="61"/>
      <c r="B3847" s="20"/>
      <c r="C3847" s="18"/>
      <c r="D3847" s="18"/>
      <c r="E3847" s="18"/>
      <c r="F3847" s="18"/>
      <c r="G3847" s="413" t="s">
        <v>537</v>
      </c>
      <c r="H3847" s="18"/>
      <c r="I3847" s="18"/>
      <c r="J3847" s="361">
        <f>VLOOKUP(B3839,'Mil Cost Premiums for RUCs'!$A$4:$R$265,18,FALSE)</f>
        <v>1.3319480854780448</v>
      </c>
      <c r="K3847" s="23">
        <f>+K3843*J3847</f>
        <v>271.58741130437846</v>
      </c>
      <c r="L3847" s="20" t="s">
        <v>9</v>
      </c>
      <c r="M3847" s="419"/>
      <c r="N3847" s="420"/>
      <c r="O3847"/>
      <c r="P3847" s="412"/>
      <c r="Q3847" s="391"/>
      <c r="R3847" s="393"/>
    </row>
    <row r="3848" spans="1:18" ht="30" customHeight="1" thickBot="1" x14ac:dyDescent="0.3">
      <c r="A3848" s="76"/>
      <c r="B3848" s="77"/>
      <c r="C3848" s="77"/>
      <c r="D3848" s="77"/>
      <c r="E3848" s="77"/>
      <c r="F3848" s="77"/>
      <c r="G3848" s="77"/>
      <c r="H3848" s="77"/>
      <c r="I3848" s="77"/>
      <c r="J3848" s="77"/>
      <c r="K3848" s="77"/>
      <c r="L3848" s="78"/>
      <c r="M3848" s="419"/>
      <c r="N3848" s="420"/>
      <c r="O3848"/>
      <c r="P3848" s="412"/>
      <c r="Q3848" s="391"/>
      <c r="R3848" s="393"/>
    </row>
    <row r="3849" spans="1:18" ht="30" customHeight="1" x14ac:dyDescent="0.25">
      <c r="A3849" s="30" t="s">
        <v>288</v>
      </c>
      <c r="B3849" s="208">
        <v>7604</v>
      </c>
      <c r="C3849" s="209" t="s">
        <v>2447</v>
      </c>
      <c r="D3849" s="210"/>
      <c r="E3849" s="177" t="s">
        <v>291</v>
      </c>
      <c r="F3849" s="178" t="s">
        <v>212</v>
      </c>
      <c r="G3849" s="123" t="s">
        <v>354</v>
      </c>
      <c r="H3849" s="179">
        <v>2070</v>
      </c>
      <c r="I3849" s="177" t="s">
        <v>292</v>
      </c>
      <c r="J3849" s="38" t="s">
        <v>883</v>
      </c>
      <c r="K3849" s="38"/>
      <c r="L3849" s="389"/>
      <c r="M3849" s="419"/>
      <c r="N3849" s="420"/>
      <c r="O3849"/>
      <c r="P3849" s="412"/>
      <c r="Q3849" s="391"/>
      <c r="R3849" s="393"/>
    </row>
    <row r="3850" spans="1:18" ht="30" customHeight="1" x14ac:dyDescent="0.25">
      <c r="A3850" s="48" t="s">
        <v>529</v>
      </c>
      <c r="B3850" s="394" t="s">
        <v>560</v>
      </c>
      <c r="C3850" s="395"/>
      <c r="D3850" s="396"/>
      <c r="E3850" s="397" t="s">
        <v>519</v>
      </c>
      <c r="F3850" s="397" t="s">
        <v>561</v>
      </c>
      <c r="G3850" s="398" t="s">
        <v>562</v>
      </c>
      <c r="H3850" s="399"/>
      <c r="I3850" s="181" t="s">
        <v>530</v>
      </c>
      <c r="J3850" s="181"/>
      <c r="K3850" s="493" t="s">
        <v>521</v>
      </c>
      <c r="L3850" s="494"/>
      <c r="M3850" s="419"/>
      <c r="N3850" s="420"/>
      <c r="O3850"/>
      <c r="P3850" s="412"/>
      <c r="Q3850" s="391"/>
      <c r="R3850" s="393"/>
    </row>
    <row r="3851" spans="1:18" ht="30" customHeight="1" x14ac:dyDescent="0.25">
      <c r="A3851" s="1299" t="s">
        <v>1932</v>
      </c>
      <c r="B3851" s="503" t="s">
        <v>2448</v>
      </c>
      <c r="C3851" s="504"/>
      <c r="D3851" s="505"/>
      <c r="E3851" s="760">
        <v>154</v>
      </c>
      <c r="F3851" s="22" t="s">
        <v>2449</v>
      </c>
      <c r="G3851" s="1112">
        <v>1.54</v>
      </c>
      <c r="H3851" s="1414" t="s">
        <v>3391</v>
      </c>
      <c r="I3851" s="20">
        <v>1.06</v>
      </c>
      <c r="J3851" s="20"/>
      <c r="K3851" s="756">
        <f>+E3851*I3851/G3851</f>
        <v>106</v>
      </c>
      <c r="L3851" s="22" t="s">
        <v>212</v>
      </c>
      <c r="M3851" s="1330"/>
      <c r="N3851" s="420"/>
      <c r="O3851" s="43"/>
      <c r="P3851" s="672"/>
      <c r="Q3851" s="671"/>
      <c r="R3851" s="673"/>
    </row>
    <row r="3852" spans="1:18" ht="30" customHeight="1" x14ac:dyDescent="0.25">
      <c r="A3852" s="61"/>
      <c r="B3852" s="410"/>
      <c r="C3852" s="410"/>
      <c r="D3852" s="410"/>
      <c r="E3852" s="405"/>
      <c r="F3852" s="338" t="s">
        <v>533</v>
      </c>
      <c r="G3852" s="339" t="s">
        <v>534</v>
      </c>
      <c r="H3852" s="339"/>
      <c r="I3852" s="339"/>
      <c r="J3852" s="339"/>
      <c r="K3852" s="340">
        <v>1.07</v>
      </c>
      <c r="L3852" s="10"/>
      <c r="M3852" s="1330"/>
      <c r="N3852" s="420"/>
      <c r="O3852" s="43"/>
      <c r="P3852" s="672"/>
      <c r="Q3852" s="671"/>
      <c r="R3852" s="673"/>
    </row>
    <row r="3853" spans="1:18" ht="30" customHeight="1" x14ac:dyDescent="0.25">
      <c r="A3853" s="61"/>
      <c r="B3853" s="410"/>
      <c r="C3853" s="410"/>
      <c r="D3853" s="410"/>
      <c r="E3853" s="405"/>
      <c r="F3853" s="343"/>
      <c r="G3853" s="344" t="s">
        <v>535</v>
      </c>
      <c r="H3853" s="344"/>
      <c r="I3853" s="344"/>
      <c r="J3853" s="344"/>
      <c r="K3853" s="340">
        <v>1.02</v>
      </c>
      <c r="L3853" s="10"/>
      <c r="M3853" s="556"/>
      <c r="N3853" s="420"/>
      <c r="O3853"/>
      <c r="P3853" s="412"/>
      <c r="Q3853" s="391"/>
      <c r="R3853" s="393"/>
    </row>
    <row r="3854" spans="1:18" ht="30" customHeight="1" x14ac:dyDescent="0.25">
      <c r="A3854" s="1334"/>
      <c r="B3854" s="503"/>
      <c r="C3854" s="504"/>
      <c r="D3854" s="505"/>
      <c r="E3854" s="405"/>
      <c r="F3854" s="22"/>
      <c r="G3854" s="730"/>
      <c r="H3854" s="649"/>
      <c r="I3854" s="20"/>
      <c r="J3854" s="20" t="s">
        <v>358</v>
      </c>
      <c r="K3854" s="23">
        <f>+K3851*K3852/K3853</f>
        <v>111.19607843137256</v>
      </c>
      <c r="L3854" s="20" t="s">
        <v>212</v>
      </c>
      <c r="M3854" s="419"/>
      <c r="N3854" s="420"/>
      <c r="O3854"/>
      <c r="P3854" s="412"/>
      <c r="Q3854" s="391"/>
      <c r="R3854" s="393"/>
    </row>
    <row r="3855" spans="1:18" ht="30" customHeight="1" thickBot="1" x14ac:dyDescent="0.3">
      <c r="A3855" s="61"/>
      <c r="B3855" s="1213" t="s">
        <v>3390</v>
      </c>
      <c r="C3855" s="1214"/>
      <c r="D3855" s="1215"/>
      <c r="E3855" s="18"/>
      <c r="F3855" s="18"/>
      <c r="G3855" s="413" t="s">
        <v>537</v>
      </c>
      <c r="H3855" s="18"/>
      <c r="I3855" s="18"/>
      <c r="J3855" s="361">
        <f>VLOOKUP(B3849,'Mil Cost Premiums for RUCs'!$A$4:$R$265,18,FALSE)</f>
        <v>1.1199953840399997</v>
      </c>
      <c r="K3855" s="23">
        <f>+K3854*J3855</f>
        <v>124.53909456648702</v>
      </c>
      <c r="L3855" s="20" t="s">
        <v>212</v>
      </c>
      <c r="M3855" s="419"/>
      <c r="N3855" s="420"/>
      <c r="O3855"/>
      <c r="P3855" s="412"/>
      <c r="Q3855" s="391"/>
      <c r="R3855" s="393"/>
    </row>
    <row r="3856" spans="1:18" ht="30" customHeight="1" thickBot="1" x14ac:dyDescent="0.3">
      <c r="A3856" s="76"/>
      <c r="B3856" s="77"/>
      <c r="C3856" s="77"/>
      <c r="D3856" s="77"/>
      <c r="E3856" s="77"/>
      <c r="F3856" s="77"/>
      <c r="G3856" s="77"/>
      <c r="H3856" s="77"/>
      <c r="I3856" s="77"/>
      <c r="J3856" s="77"/>
      <c r="K3856" s="77"/>
      <c r="L3856" s="78"/>
      <c r="M3856" s="419"/>
      <c r="N3856" s="420"/>
      <c r="O3856"/>
      <c r="P3856" s="412"/>
      <c r="Q3856" s="391"/>
      <c r="R3856" s="393"/>
    </row>
    <row r="3857" spans="1:18" ht="30" customHeight="1" x14ac:dyDescent="0.25">
      <c r="A3857" s="30" t="s">
        <v>288</v>
      </c>
      <c r="B3857" s="31">
        <v>7605</v>
      </c>
      <c r="C3857" s="161" t="s">
        <v>2450</v>
      </c>
      <c r="D3857" s="162"/>
      <c r="E3857" s="36" t="s">
        <v>291</v>
      </c>
      <c r="F3857" s="37" t="s">
        <v>11</v>
      </c>
      <c r="G3857" s="163"/>
      <c r="H3857" s="1481"/>
      <c r="I3857" s="36" t="s">
        <v>292</v>
      </c>
      <c r="J3857" s="38" t="s">
        <v>213</v>
      </c>
      <c r="K3857" s="38"/>
      <c r="L3857" s="389"/>
      <c r="M3857" s="419"/>
      <c r="N3857" s="420"/>
      <c r="O3857"/>
      <c r="P3857" s="412"/>
      <c r="Q3857" s="391"/>
      <c r="R3857" s="393"/>
    </row>
    <row r="3858" spans="1:18" ht="30" customHeight="1" x14ac:dyDescent="0.25">
      <c r="A3858" s="44"/>
      <c r="B3858" s="45" t="s">
        <v>295</v>
      </c>
      <c r="C3858" s="45"/>
      <c r="D3858" s="45"/>
      <c r="E3858" s="44" t="s">
        <v>821</v>
      </c>
      <c r="F3858" s="44" t="s">
        <v>561</v>
      </c>
      <c r="G3858" s="626" t="s">
        <v>562</v>
      </c>
      <c r="H3858" s="627"/>
      <c r="I3858" s="667" t="s">
        <v>569</v>
      </c>
      <c r="J3858" s="44" t="s">
        <v>737</v>
      </c>
      <c r="K3858" s="493" t="s">
        <v>521</v>
      </c>
      <c r="L3858" s="494"/>
      <c r="M3858" s="670"/>
      <c r="N3858" s="420"/>
      <c r="O3858"/>
      <c r="P3858" s="412"/>
      <c r="Q3858" s="391"/>
      <c r="R3858" s="393"/>
    </row>
    <row r="3859" spans="1:18" ht="30" customHeight="1" x14ac:dyDescent="0.25">
      <c r="A3859" s="51"/>
      <c r="B3859" s="52" t="s">
        <v>2451</v>
      </c>
      <c r="C3859" s="52"/>
      <c r="D3859" s="52"/>
      <c r="E3859" s="98">
        <v>6390138</v>
      </c>
      <c r="F3859" s="51" t="s">
        <v>335</v>
      </c>
      <c r="G3859" s="225">
        <v>184</v>
      </c>
      <c r="H3859" s="742" t="s">
        <v>2452</v>
      </c>
      <c r="I3859" s="1844">
        <v>1.02</v>
      </c>
      <c r="J3859" s="1221">
        <f>+'MILCON Inflation Table'!F4</f>
        <v>1.2231999999999998</v>
      </c>
      <c r="K3859" s="98">
        <f>+E3859/G3859/I3859*J3859</f>
        <v>41647.574603580557</v>
      </c>
      <c r="L3859" s="51" t="s">
        <v>11</v>
      </c>
      <c r="M3859" s="1572"/>
      <c r="N3859" s="420"/>
      <c r="O3859"/>
      <c r="P3859" s="412"/>
      <c r="Q3859" s="391"/>
      <c r="R3859" s="393"/>
    </row>
    <row r="3860" spans="1:18" ht="30" customHeight="1" x14ac:dyDescent="0.25">
      <c r="A3860" s="51"/>
      <c r="B3860" s="96"/>
      <c r="C3860" s="1482"/>
      <c r="D3860" s="1483"/>
      <c r="E3860" s="264"/>
      <c r="F3860" s="51"/>
      <c r="G3860" s="225"/>
      <c r="H3860" s="1484"/>
      <c r="I3860" s="1485" t="s">
        <v>2453</v>
      </c>
      <c r="J3860" s="1486"/>
      <c r="K3860" s="98">
        <f>+K3859</f>
        <v>41647.574603580557</v>
      </c>
      <c r="L3860" s="65" t="s">
        <v>11</v>
      </c>
      <c r="M3860" s="419"/>
      <c r="N3860" s="671"/>
      <c r="O3860"/>
      <c r="P3860" s="412"/>
      <c r="Q3860" s="391"/>
      <c r="R3860" s="393"/>
    </row>
    <row r="3861" spans="1:18" ht="30" customHeight="1" x14ac:dyDescent="0.25">
      <c r="A3861" s="61"/>
      <c r="B3861" s="192"/>
      <c r="C3861" s="192"/>
      <c r="D3861" s="192"/>
      <c r="E3861" s="1181" t="s">
        <v>1774</v>
      </c>
      <c r="F3861" s="63"/>
      <c r="G3861" s="63"/>
      <c r="H3861" s="63"/>
      <c r="I3861" s="63"/>
      <c r="J3861" s="525" t="s">
        <v>358</v>
      </c>
      <c r="K3861" s="1487">
        <f>+K3860</f>
        <v>41647.574603580557</v>
      </c>
      <c r="L3861" s="65" t="s">
        <v>11</v>
      </c>
      <c r="M3861" s="419"/>
      <c r="N3861" s="671"/>
      <c r="O3861"/>
      <c r="P3861" s="412"/>
      <c r="Q3861" s="391"/>
      <c r="R3861" s="393"/>
    </row>
    <row r="3862" spans="1:18" ht="30" customHeight="1" x14ac:dyDescent="0.25">
      <c r="A3862" s="365" t="s">
        <v>2454</v>
      </c>
      <c r="B3862" s="366"/>
      <c r="C3862" s="366"/>
      <c r="D3862" s="366"/>
      <c r="E3862" s="366"/>
      <c r="F3862" s="366"/>
      <c r="G3862" s="366"/>
      <c r="H3862" s="366"/>
      <c r="I3862" s="366"/>
      <c r="J3862" s="366"/>
      <c r="K3862" s="366"/>
      <c r="L3862" s="367"/>
      <c r="M3862" s="419"/>
      <c r="N3862" s="420"/>
      <c r="O3862"/>
      <c r="P3862" s="412"/>
      <c r="Q3862" s="391"/>
      <c r="R3862" s="393"/>
    </row>
    <row r="3863" spans="1:18" ht="30" customHeight="1" thickBot="1" x14ac:dyDescent="0.3">
      <c r="A3863" s="1488"/>
      <c r="B3863" s="1489"/>
      <c r="C3863" s="1489"/>
      <c r="D3863" s="1489"/>
      <c r="E3863" s="1489"/>
      <c r="F3863" s="1489"/>
      <c r="G3863" s="1489"/>
      <c r="H3863" s="1489"/>
      <c r="I3863" s="1489"/>
      <c r="J3863" s="1489"/>
      <c r="K3863" s="1489"/>
      <c r="L3863" s="1490"/>
      <c r="M3863" s="419"/>
      <c r="N3863" s="420"/>
      <c r="O3863"/>
      <c r="P3863" s="412"/>
      <c r="Q3863" s="391"/>
      <c r="R3863" s="393"/>
    </row>
    <row r="3864" spans="1:18" ht="30" customHeight="1" thickBot="1" x14ac:dyDescent="0.3">
      <c r="A3864" s="76"/>
      <c r="B3864" s="77"/>
      <c r="C3864" s="77"/>
      <c r="D3864" s="77"/>
      <c r="E3864" s="77"/>
      <c r="F3864" s="77"/>
      <c r="G3864" s="77"/>
      <c r="H3864" s="77"/>
      <c r="I3864" s="77"/>
      <c r="J3864" s="77"/>
      <c r="K3864" s="77"/>
      <c r="L3864" s="78"/>
      <c r="M3864" s="419"/>
      <c r="N3864" s="420"/>
      <c r="O3864"/>
      <c r="P3864" s="412"/>
      <c r="Q3864" s="391"/>
      <c r="R3864" s="393"/>
    </row>
    <row r="3865" spans="1:18" ht="30" customHeight="1" x14ac:dyDescent="0.25">
      <c r="A3865" s="30" t="s">
        <v>288</v>
      </c>
      <c r="B3865" s="208">
        <v>8111</v>
      </c>
      <c r="C3865" s="209" t="s">
        <v>2455</v>
      </c>
      <c r="D3865" s="210"/>
      <c r="E3865" s="177" t="s">
        <v>291</v>
      </c>
      <c r="F3865" s="178" t="s">
        <v>215</v>
      </c>
      <c r="G3865" s="123" t="s">
        <v>375</v>
      </c>
      <c r="H3865" s="179">
        <v>5381</v>
      </c>
      <c r="I3865" s="177" t="s">
        <v>292</v>
      </c>
      <c r="J3865" s="38" t="s">
        <v>883</v>
      </c>
      <c r="K3865" s="38"/>
      <c r="L3865" s="389"/>
      <c r="M3865" s="419"/>
      <c r="N3865" s="420"/>
      <c r="O3865"/>
      <c r="P3865" s="412"/>
      <c r="Q3865" s="391"/>
      <c r="R3865" s="393"/>
    </row>
    <row r="3866" spans="1:18" ht="30" customHeight="1" x14ac:dyDescent="0.25">
      <c r="A3866" s="48" t="s">
        <v>529</v>
      </c>
      <c r="B3866" s="394" t="s">
        <v>560</v>
      </c>
      <c r="C3866" s="395"/>
      <c r="D3866" s="396"/>
      <c r="E3866" s="397" t="s">
        <v>519</v>
      </c>
      <c r="F3866" s="397" t="s">
        <v>561</v>
      </c>
      <c r="G3866" s="398" t="s">
        <v>562</v>
      </c>
      <c r="H3866" s="399"/>
      <c r="I3866" s="181" t="s">
        <v>530</v>
      </c>
      <c r="J3866" s="181"/>
      <c r="K3866" s="493" t="s">
        <v>521</v>
      </c>
      <c r="L3866" s="494"/>
      <c r="M3866" s="419"/>
      <c r="N3866" s="420"/>
      <c r="O3866"/>
      <c r="P3866" s="412"/>
      <c r="Q3866" s="391"/>
      <c r="R3866" s="393"/>
    </row>
    <row r="3867" spans="1:18" s="49" customFormat="1" ht="30" customHeight="1" x14ac:dyDescent="0.25">
      <c r="A3867" s="1299" t="s">
        <v>920</v>
      </c>
      <c r="B3867" s="402" t="s">
        <v>2456</v>
      </c>
      <c r="C3867" s="403"/>
      <c r="D3867" s="404"/>
      <c r="E3867" s="760">
        <v>371</v>
      </c>
      <c r="F3867" s="22" t="s">
        <v>215</v>
      </c>
      <c r="G3867" s="1112"/>
      <c r="H3867" s="758"/>
      <c r="I3867" s="751">
        <v>1.02</v>
      </c>
      <c r="J3867" s="20"/>
      <c r="K3867" s="756">
        <f>+E3867*I3867</f>
        <v>378.42</v>
      </c>
      <c r="L3867" s="22" t="s">
        <v>215</v>
      </c>
      <c r="M3867" s="419"/>
      <c r="N3867" s="420"/>
      <c r="P3867" s="412"/>
      <c r="Q3867" s="391"/>
      <c r="R3867" s="393"/>
    </row>
    <row r="3868" spans="1:18" ht="30" customHeight="1" x14ac:dyDescent="0.25">
      <c r="A3868" s="61"/>
      <c r="B3868" s="410"/>
      <c r="C3868" s="410"/>
      <c r="D3868" s="410"/>
      <c r="E3868" s="405"/>
      <c r="F3868" s="338" t="s">
        <v>533</v>
      </c>
      <c r="G3868" s="339" t="s">
        <v>534</v>
      </c>
      <c r="H3868" s="339"/>
      <c r="I3868" s="339"/>
      <c r="J3868" s="339"/>
      <c r="K3868" s="340">
        <v>1.07</v>
      </c>
      <c r="L3868" s="10"/>
      <c r="M3868" s="419"/>
      <c r="N3868" s="420"/>
      <c r="O3868"/>
      <c r="P3868" s="412"/>
      <c r="Q3868" s="391"/>
      <c r="R3868" s="393"/>
    </row>
    <row r="3869" spans="1:18" ht="30" customHeight="1" x14ac:dyDescent="0.25">
      <c r="A3869" s="61"/>
      <c r="B3869" s="410"/>
      <c r="C3869" s="410"/>
      <c r="D3869" s="410"/>
      <c r="E3869" s="405"/>
      <c r="F3869" s="343"/>
      <c r="G3869" s="344" t="s">
        <v>535</v>
      </c>
      <c r="H3869" s="344"/>
      <c r="I3869" s="344"/>
      <c r="J3869" s="344"/>
      <c r="K3869" s="340">
        <v>1.02</v>
      </c>
      <c r="L3869" s="10"/>
      <c r="M3869" s="419"/>
      <c r="N3869" s="420"/>
      <c r="O3869"/>
      <c r="P3869" s="412"/>
      <c r="Q3869" s="391"/>
      <c r="R3869" s="393"/>
    </row>
    <row r="3870" spans="1:18" ht="30" customHeight="1" x14ac:dyDescent="0.25">
      <c r="A3870" s="1334"/>
      <c r="B3870" s="503"/>
      <c r="C3870" s="504"/>
      <c r="D3870" s="505"/>
      <c r="E3870" s="405"/>
      <c r="F3870" s="22"/>
      <c r="G3870" s="730"/>
      <c r="H3870" s="649"/>
      <c r="I3870" s="20"/>
      <c r="J3870" s="20" t="s">
        <v>358</v>
      </c>
      <c r="K3870" s="23">
        <f>+K3867*K3868/K3869</f>
        <v>396.97</v>
      </c>
      <c r="L3870" s="20" t="s">
        <v>215</v>
      </c>
      <c r="M3870" s="419"/>
      <c r="N3870" s="420"/>
      <c r="O3870"/>
      <c r="P3870" s="412"/>
      <c r="Q3870" s="391"/>
      <c r="R3870" s="393"/>
    </row>
    <row r="3871" spans="1:18" ht="30" customHeight="1" thickBot="1" x14ac:dyDescent="0.3">
      <c r="A3871" s="61"/>
      <c r="B3871" s="20"/>
      <c r="C3871" s="18"/>
      <c r="D3871" s="18"/>
      <c r="E3871" s="18"/>
      <c r="F3871" s="18"/>
      <c r="G3871" s="413" t="s">
        <v>537</v>
      </c>
      <c r="H3871" s="18"/>
      <c r="I3871" s="18"/>
      <c r="J3871" s="361">
        <f>VLOOKUP(B3865,'Mil Cost Premiums for RUCs'!$A$4:$R$265,18,FALSE)</f>
        <v>1.0905505199999999</v>
      </c>
      <c r="K3871" s="23">
        <f>+K3870*J3871</f>
        <v>432.91583992439996</v>
      </c>
      <c r="L3871" s="20" t="s">
        <v>215</v>
      </c>
      <c r="M3871" s="419"/>
      <c r="N3871" s="420"/>
      <c r="O3871" s="43"/>
      <c r="P3871" s="672"/>
      <c r="Q3871" s="671"/>
      <c r="R3871" s="673"/>
    </row>
    <row r="3872" spans="1:18" ht="30" customHeight="1" thickBot="1" x14ac:dyDescent="0.3">
      <c r="A3872" s="76"/>
      <c r="B3872" s="77"/>
      <c r="C3872" s="77"/>
      <c r="D3872" s="77"/>
      <c r="E3872" s="77"/>
      <c r="F3872" s="77"/>
      <c r="G3872" s="77"/>
      <c r="H3872" s="77"/>
      <c r="I3872" s="77"/>
      <c r="J3872" s="77"/>
      <c r="K3872" s="77"/>
      <c r="L3872" s="78"/>
      <c r="M3872" s="419"/>
      <c r="N3872" s="420"/>
      <c r="O3872" s="43"/>
      <c r="P3872" s="672"/>
      <c r="Q3872" s="671"/>
      <c r="R3872" s="673"/>
    </row>
    <row r="3873" spans="1:18" ht="30" customHeight="1" x14ac:dyDescent="0.25">
      <c r="A3873" s="207" t="s">
        <v>288</v>
      </c>
      <c r="B3873" s="208">
        <v>8112</v>
      </c>
      <c r="C3873" s="282" t="s">
        <v>2457</v>
      </c>
      <c r="D3873" s="283"/>
      <c r="E3873" s="177" t="s">
        <v>291</v>
      </c>
      <c r="F3873" s="178" t="s">
        <v>215</v>
      </c>
      <c r="G3873" s="123" t="s">
        <v>375</v>
      </c>
      <c r="H3873" s="302">
        <v>354</v>
      </c>
      <c r="I3873" s="177" t="s">
        <v>292</v>
      </c>
      <c r="J3873" s="38" t="s">
        <v>623</v>
      </c>
      <c r="K3873" s="38"/>
      <c r="L3873" s="389"/>
      <c r="N3873" s="420"/>
      <c r="O3873"/>
      <c r="P3873" s="412"/>
      <c r="Q3873" s="391"/>
      <c r="R3873" s="393"/>
    </row>
    <row r="3874" spans="1:18" ht="30" customHeight="1" x14ac:dyDescent="0.25">
      <c r="A3874" s="181" t="s">
        <v>517</v>
      </c>
      <c r="B3874" s="180" t="s">
        <v>295</v>
      </c>
      <c r="C3874" s="180"/>
      <c r="D3874" s="180"/>
      <c r="E3874" s="285" t="s">
        <v>2458</v>
      </c>
      <c r="F3874" s="181" t="s">
        <v>2459</v>
      </c>
      <c r="G3874" s="665" t="s">
        <v>562</v>
      </c>
      <c r="H3874" s="666"/>
      <c r="I3874" s="286" t="s">
        <v>520</v>
      </c>
      <c r="J3874" s="287"/>
      <c r="K3874" s="493" t="s">
        <v>521</v>
      </c>
      <c r="L3874" s="494"/>
      <c r="N3874" s="420"/>
      <c r="O3874"/>
      <c r="P3874" s="412"/>
      <c r="Q3874" s="391"/>
      <c r="R3874" s="393"/>
    </row>
    <row r="3875" spans="1:18" ht="30" customHeight="1" x14ac:dyDescent="0.25">
      <c r="A3875" s="20">
        <v>81160</v>
      </c>
      <c r="B3875" s="186" t="s">
        <v>2460</v>
      </c>
      <c r="C3875" s="186"/>
      <c r="D3875" s="186"/>
      <c r="E3875" s="405">
        <v>56050</v>
      </c>
      <c r="F3875" s="729">
        <v>75</v>
      </c>
      <c r="G3875" s="730">
        <v>75</v>
      </c>
      <c r="H3875" s="649" t="s">
        <v>2461</v>
      </c>
      <c r="I3875" s="726">
        <f>+'MILCON Inflation Table'!$F$17</f>
        <v>0.9432470865927236</v>
      </c>
      <c r="J3875" s="727"/>
      <c r="K3875" s="597">
        <f t="shared" ref="K3875:K3880" si="57">+E3875/F3875*I3875</f>
        <v>704.91998938029553</v>
      </c>
      <c r="L3875" s="20" t="s">
        <v>215</v>
      </c>
      <c r="M3875" s="419"/>
      <c r="N3875" s="420"/>
      <c r="O3875"/>
      <c r="P3875" s="412"/>
      <c r="Q3875" s="391"/>
      <c r="R3875" s="393"/>
    </row>
    <row r="3876" spans="1:18" ht="30" customHeight="1" x14ac:dyDescent="0.25">
      <c r="A3876" s="20">
        <v>81160</v>
      </c>
      <c r="B3876" s="186" t="s">
        <v>2462</v>
      </c>
      <c r="C3876" s="186"/>
      <c r="D3876" s="186"/>
      <c r="E3876" s="405">
        <v>65860</v>
      </c>
      <c r="F3876" s="729">
        <v>125</v>
      </c>
      <c r="G3876" s="730">
        <v>125</v>
      </c>
      <c r="H3876" s="649" t="s">
        <v>2461</v>
      </c>
      <c r="I3876" s="726">
        <f>+'MILCON Inflation Table'!$F$17</f>
        <v>0.9432470865927236</v>
      </c>
      <c r="J3876" s="727"/>
      <c r="K3876" s="597">
        <f t="shared" si="57"/>
        <v>496.97802498397419</v>
      </c>
      <c r="L3876" s="20" t="s">
        <v>215</v>
      </c>
      <c r="M3876" s="419"/>
      <c r="N3876" s="1491"/>
      <c r="O3876"/>
      <c r="P3876" s="412"/>
      <c r="Q3876" s="391"/>
      <c r="R3876" s="393"/>
    </row>
    <row r="3877" spans="1:18" s="49" customFormat="1" ht="30" customHeight="1" x14ac:dyDescent="0.25">
      <c r="A3877" s="20">
        <v>81160</v>
      </c>
      <c r="B3877" s="186" t="s">
        <v>2463</v>
      </c>
      <c r="C3877" s="186"/>
      <c r="D3877" s="186"/>
      <c r="E3877" s="405">
        <v>85750</v>
      </c>
      <c r="F3877" s="729">
        <v>200</v>
      </c>
      <c r="G3877" s="730">
        <v>200</v>
      </c>
      <c r="H3877" s="649" t="s">
        <v>2461</v>
      </c>
      <c r="I3877" s="726">
        <f>+'MILCON Inflation Table'!$F$17</f>
        <v>0.9432470865927236</v>
      </c>
      <c r="J3877" s="727"/>
      <c r="K3877" s="597">
        <f t="shared" si="57"/>
        <v>404.41718837663024</v>
      </c>
      <c r="L3877" s="20" t="s">
        <v>215</v>
      </c>
      <c r="M3877" s="419"/>
      <c r="N3877" s="420"/>
      <c r="P3877" s="412"/>
      <c r="Q3877" s="391"/>
      <c r="R3877" s="393"/>
    </row>
    <row r="3878" spans="1:18" ht="30" customHeight="1" x14ac:dyDescent="0.25">
      <c r="A3878" s="20">
        <v>81160</v>
      </c>
      <c r="B3878" s="186" t="s">
        <v>2464</v>
      </c>
      <c r="C3878" s="186"/>
      <c r="D3878" s="186"/>
      <c r="E3878" s="405">
        <v>105100</v>
      </c>
      <c r="F3878" s="729">
        <v>300</v>
      </c>
      <c r="G3878" s="730">
        <v>300</v>
      </c>
      <c r="H3878" s="649" t="s">
        <v>2461</v>
      </c>
      <c r="I3878" s="726">
        <f>+'MILCON Inflation Table'!$F$17</f>
        <v>0.9432470865927236</v>
      </c>
      <c r="J3878" s="727"/>
      <c r="K3878" s="597">
        <f t="shared" si="57"/>
        <v>330.45089600298417</v>
      </c>
      <c r="L3878" s="20" t="s">
        <v>215</v>
      </c>
      <c r="M3878" s="670"/>
      <c r="N3878" s="420"/>
      <c r="O3878"/>
      <c r="P3878" s="412"/>
      <c r="Q3878" s="391"/>
      <c r="R3878" s="393"/>
    </row>
    <row r="3879" spans="1:18" ht="30" customHeight="1" x14ac:dyDescent="0.25">
      <c r="A3879" s="20">
        <v>81160</v>
      </c>
      <c r="B3879" s="186" t="s">
        <v>2465</v>
      </c>
      <c r="C3879" s="186"/>
      <c r="D3879" s="186"/>
      <c r="E3879" s="1447">
        <v>142470</v>
      </c>
      <c r="F3879" s="729">
        <v>400</v>
      </c>
      <c r="G3879" s="730">
        <v>400</v>
      </c>
      <c r="H3879" s="649" t="s">
        <v>2461</v>
      </c>
      <c r="I3879" s="726">
        <f>+'MILCON Inflation Table'!$F$17</f>
        <v>0.9432470865927236</v>
      </c>
      <c r="J3879" s="727"/>
      <c r="K3879" s="597">
        <f t="shared" si="57"/>
        <v>335.96103106716333</v>
      </c>
      <c r="L3879" s="20" t="s">
        <v>215</v>
      </c>
      <c r="M3879" s="670"/>
      <c r="N3879" s="420"/>
      <c r="O3879" s="43"/>
      <c r="P3879" s="672"/>
      <c r="Q3879" s="671"/>
      <c r="R3879" s="673"/>
    </row>
    <row r="3880" spans="1:18" ht="30" customHeight="1" x14ac:dyDescent="0.25">
      <c r="A3880" s="20">
        <v>81160</v>
      </c>
      <c r="B3880" s="186" t="s">
        <v>2466</v>
      </c>
      <c r="C3880" s="186"/>
      <c r="D3880" s="186"/>
      <c r="E3880" s="1447">
        <v>176710</v>
      </c>
      <c r="F3880" s="729">
        <v>500</v>
      </c>
      <c r="G3880" s="730">
        <v>500</v>
      </c>
      <c r="H3880" s="649" t="s">
        <v>2461</v>
      </c>
      <c r="I3880" s="726">
        <f>+'MILCON Inflation Table'!$F$17</f>
        <v>0.9432470865927236</v>
      </c>
      <c r="J3880" s="727"/>
      <c r="K3880" s="597">
        <f t="shared" si="57"/>
        <v>333.36238534360041</v>
      </c>
      <c r="L3880" s="20" t="s">
        <v>215</v>
      </c>
      <c r="M3880" s="419"/>
      <c r="N3880" s="671"/>
      <c r="O3880" s="43"/>
      <c r="P3880" s="672"/>
      <c r="Q3880" s="671"/>
      <c r="R3880" s="673"/>
    </row>
    <row r="3881" spans="1:18" ht="30" customHeight="1" x14ac:dyDescent="0.25">
      <c r="A3881" s="20"/>
      <c r="B3881" s="523"/>
      <c r="C3881" s="524"/>
      <c r="D3881" s="407"/>
      <c r="E3881" s="1492"/>
      <c r="F3881" s="1124"/>
      <c r="G3881" s="657"/>
      <c r="H3881" s="649"/>
      <c r="I3881" s="1127"/>
      <c r="J3881" s="764" t="s">
        <v>536</v>
      </c>
      <c r="K3881" s="304">
        <f>AVERAGE(K3875:K3880)</f>
        <v>434.34825252577474</v>
      </c>
      <c r="L3881" s="290" t="s">
        <v>215</v>
      </c>
      <c r="N3881" s="671"/>
      <c r="O3881"/>
      <c r="P3881" s="412"/>
      <c r="Q3881" s="391"/>
      <c r="R3881" s="393"/>
    </row>
    <row r="3882" spans="1:18" ht="30" customHeight="1" thickBot="1" x14ac:dyDescent="0.3">
      <c r="A3882" s="20"/>
      <c r="B3882" s="503"/>
      <c r="C3882" s="504"/>
      <c r="D3882" s="505"/>
      <c r="E3882" s="465"/>
      <c r="F3882" s="763"/>
      <c r="G3882" s="465"/>
      <c r="H3882" s="465"/>
      <c r="I3882" s="18"/>
      <c r="J3882" s="185" t="s">
        <v>358</v>
      </c>
      <c r="K3882" s="305">
        <f>AVERAGE(K3875:K3881)</f>
        <v>434.34825252577468</v>
      </c>
      <c r="L3882" s="290" t="s">
        <v>215</v>
      </c>
      <c r="M3882" s="419"/>
      <c r="N3882" s="420"/>
      <c r="O3882"/>
    </row>
    <row r="3883" spans="1:18" ht="30" customHeight="1" thickBot="1" x14ac:dyDescent="0.3">
      <c r="A3883" s="76"/>
      <c r="B3883" s="77"/>
      <c r="C3883" s="77"/>
      <c r="D3883" s="77"/>
      <c r="E3883" s="77"/>
      <c r="F3883" s="77"/>
      <c r="G3883" s="77"/>
      <c r="H3883" s="77"/>
      <c r="I3883" s="77"/>
      <c r="J3883" s="77"/>
      <c r="K3883" s="77"/>
      <c r="L3883" s="78"/>
      <c r="M3883" s="419"/>
      <c r="N3883" s="420"/>
      <c r="O3883"/>
    </row>
    <row r="3884" spans="1:18" ht="30" customHeight="1" x14ac:dyDescent="0.25">
      <c r="A3884" s="207" t="s">
        <v>288</v>
      </c>
      <c r="B3884" s="208">
        <v>8113</v>
      </c>
      <c r="C3884" s="209" t="s">
        <v>2467</v>
      </c>
      <c r="D3884" s="210"/>
      <c r="E3884" s="177" t="s">
        <v>291</v>
      </c>
      <c r="F3884" s="178" t="s">
        <v>215</v>
      </c>
      <c r="G3884" s="123" t="s">
        <v>375</v>
      </c>
      <c r="H3884" s="179">
        <v>3000</v>
      </c>
      <c r="I3884" s="177" t="s">
        <v>292</v>
      </c>
      <c r="J3884" s="38" t="s">
        <v>883</v>
      </c>
      <c r="K3884" s="38"/>
      <c r="L3884" s="389"/>
      <c r="M3884" s="425"/>
      <c r="N3884" s="420"/>
      <c r="O3884"/>
    </row>
    <row r="3885" spans="1:18" s="49" customFormat="1" ht="30" customHeight="1" x14ac:dyDescent="0.25">
      <c r="A3885" s="185" t="s">
        <v>529</v>
      </c>
      <c r="B3885" s="394" t="s">
        <v>560</v>
      </c>
      <c r="C3885" s="395"/>
      <c r="D3885" s="396"/>
      <c r="E3885" s="397" t="s">
        <v>519</v>
      </c>
      <c r="F3885" s="397" t="s">
        <v>561</v>
      </c>
      <c r="G3885" s="398" t="s">
        <v>562</v>
      </c>
      <c r="H3885" s="399"/>
      <c r="I3885" s="181" t="s">
        <v>530</v>
      </c>
      <c r="J3885" s="181"/>
      <c r="K3885" s="493" t="s">
        <v>521</v>
      </c>
      <c r="L3885" s="494"/>
      <c r="M3885" s="419"/>
      <c r="N3885" s="420"/>
    </row>
    <row r="3886" spans="1:18" ht="30" customHeight="1" x14ac:dyDescent="0.25">
      <c r="A3886" s="1325" t="s">
        <v>1591</v>
      </c>
      <c r="B3886" s="402" t="s">
        <v>2468</v>
      </c>
      <c r="C3886" s="403"/>
      <c r="D3886" s="404"/>
      <c r="E3886" s="760">
        <f>(1850+5800)/2</f>
        <v>3825</v>
      </c>
      <c r="F3886" s="22" t="s">
        <v>215</v>
      </c>
      <c r="G3886" s="730">
        <v>1000</v>
      </c>
      <c r="H3886" s="649" t="s">
        <v>2469</v>
      </c>
      <c r="I3886" s="751">
        <v>1.05</v>
      </c>
      <c r="J3886" s="20"/>
      <c r="K3886" s="756">
        <f>+E3886*G3886*I3886</f>
        <v>4016250</v>
      </c>
      <c r="L3886" s="22" t="s">
        <v>215</v>
      </c>
      <c r="M3886" s="670"/>
      <c r="N3886" s="420"/>
      <c r="O3886"/>
    </row>
    <row r="3887" spans="1:18" ht="30" customHeight="1" x14ac:dyDescent="0.25">
      <c r="A3887" s="20"/>
      <c r="B3887" s="410"/>
      <c r="C3887" s="410"/>
      <c r="D3887" s="410"/>
      <c r="E3887" s="405"/>
      <c r="F3887" s="338" t="s">
        <v>533</v>
      </c>
      <c r="G3887" s="339" t="s">
        <v>534</v>
      </c>
      <c r="H3887" s="339"/>
      <c r="I3887" s="339"/>
      <c r="J3887" s="339"/>
      <c r="K3887" s="340">
        <v>1.07</v>
      </c>
      <c r="L3887" s="10"/>
      <c r="M3887" s="1493"/>
      <c r="N3887" s="420"/>
      <c r="O3887" s="25"/>
      <c r="P3887" s="25"/>
    </row>
    <row r="3888" spans="1:18" ht="30" customHeight="1" x14ac:dyDescent="0.25">
      <c r="A3888" s="20"/>
      <c r="B3888" s="410"/>
      <c r="C3888" s="410"/>
      <c r="D3888" s="410"/>
      <c r="E3888" s="405"/>
      <c r="F3888" s="343"/>
      <c r="G3888" s="344" t="s">
        <v>535</v>
      </c>
      <c r="H3888" s="344"/>
      <c r="I3888" s="344"/>
      <c r="J3888" s="344"/>
      <c r="K3888" s="340">
        <v>1.02</v>
      </c>
      <c r="L3888" s="10"/>
      <c r="M3888" s="419"/>
      <c r="N3888" s="671"/>
      <c r="O3888" s="25"/>
      <c r="P3888" s="25"/>
    </row>
    <row r="3889" spans="1:21" ht="30" customHeight="1" x14ac:dyDescent="0.25">
      <c r="A3889" s="1494"/>
      <c r="B3889" s="524"/>
      <c r="C3889" s="524"/>
      <c r="D3889" s="407"/>
      <c r="E3889" s="405"/>
      <c r="F3889" s="22"/>
      <c r="G3889" s="730"/>
      <c r="H3889" s="649"/>
      <c r="I3889" s="751"/>
      <c r="J3889" s="20" t="s">
        <v>358</v>
      </c>
      <c r="K3889" s="756">
        <f>+K3886*K3887/K3888</f>
        <v>4213125</v>
      </c>
      <c r="L3889" s="20" t="s">
        <v>215</v>
      </c>
      <c r="M3889" s="419"/>
      <c r="N3889" s="1495"/>
      <c r="O3889" s="25"/>
      <c r="P3889" s="25"/>
    </row>
    <row r="3890" spans="1:21" ht="30" customHeight="1" thickBot="1" x14ac:dyDescent="0.3">
      <c r="A3890" s="1496"/>
      <c r="B3890" s="1497"/>
      <c r="C3890" s="1497"/>
      <c r="D3890" s="1498"/>
      <c r="E3890" s="18"/>
      <c r="F3890" s="18"/>
      <c r="G3890" s="413" t="s">
        <v>537</v>
      </c>
      <c r="H3890" s="18"/>
      <c r="I3890" s="18"/>
      <c r="J3890" s="361">
        <f>VLOOKUP(B3884,'Mil Cost Premiums for RUCs'!$A$4:$R$265,18,FALSE)</f>
        <v>1.1199953840399997</v>
      </c>
      <c r="K3890" s="23">
        <f>+K3889*J3890</f>
        <v>4718680.5523835234</v>
      </c>
      <c r="L3890" s="20" t="s">
        <v>215</v>
      </c>
      <c r="M3890" s="419"/>
      <c r="N3890" s="420"/>
      <c r="O3890"/>
      <c r="P3890" s="412"/>
      <c r="Q3890" s="391"/>
      <c r="R3890" s="393"/>
    </row>
    <row r="3891" spans="1:21" ht="30" customHeight="1" thickBot="1" x14ac:dyDescent="0.3">
      <c r="A3891" s="76"/>
      <c r="B3891" s="77"/>
      <c r="C3891" s="77"/>
      <c r="D3891" s="77"/>
      <c r="E3891" s="77"/>
      <c r="F3891" s="77"/>
      <c r="G3891" s="77"/>
      <c r="H3891" s="77"/>
      <c r="I3891" s="77"/>
      <c r="J3891" s="77"/>
      <c r="K3891" s="77"/>
      <c r="L3891" s="78"/>
      <c r="N3891" s="420"/>
      <c r="O3891"/>
      <c r="P3891" s="412"/>
      <c r="Q3891" s="391"/>
      <c r="R3891" s="393"/>
    </row>
    <row r="3892" spans="1:21" ht="30" customHeight="1" x14ac:dyDescent="0.25">
      <c r="A3892" s="207" t="s">
        <v>288</v>
      </c>
      <c r="B3892" s="208">
        <v>8114</v>
      </c>
      <c r="C3892" s="209" t="s">
        <v>2470</v>
      </c>
      <c r="D3892" s="210"/>
      <c r="E3892" s="177" t="s">
        <v>291</v>
      </c>
      <c r="F3892" s="178" t="s">
        <v>215</v>
      </c>
      <c r="G3892" s="123" t="s">
        <v>375</v>
      </c>
      <c r="H3892" s="179">
        <v>379</v>
      </c>
      <c r="I3892" s="177" t="s">
        <v>292</v>
      </c>
      <c r="J3892" s="38" t="s">
        <v>883</v>
      </c>
      <c r="K3892" s="38"/>
      <c r="L3892" s="389"/>
      <c r="M3892" s="502"/>
      <c r="N3892" s="420"/>
      <c r="O3892"/>
      <c r="P3892" s="412"/>
      <c r="Q3892" s="391"/>
      <c r="R3892" s="393"/>
    </row>
    <row r="3893" spans="1:21" s="49" customFormat="1" ht="30" customHeight="1" x14ac:dyDescent="0.25">
      <c r="A3893" s="185" t="s">
        <v>529</v>
      </c>
      <c r="B3893" s="394" t="s">
        <v>560</v>
      </c>
      <c r="C3893" s="395"/>
      <c r="D3893" s="396"/>
      <c r="E3893" s="397" t="s">
        <v>519</v>
      </c>
      <c r="F3893" s="397" t="s">
        <v>561</v>
      </c>
      <c r="G3893" s="398" t="s">
        <v>562</v>
      </c>
      <c r="H3893" s="399"/>
      <c r="I3893" s="181" t="s">
        <v>530</v>
      </c>
      <c r="J3893" s="181"/>
      <c r="K3893" s="493" t="s">
        <v>521</v>
      </c>
      <c r="L3893" s="494"/>
      <c r="M3893" s="25"/>
      <c r="N3893" s="25"/>
      <c r="P3893" s="412"/>
      <c r="Q3893" s="391"/>
      <c r="R3893" s="393"/>
    </row>
    <row r="3894" spans="1:21" ht="30" customHeight="1" x14ac:dyDescent="0.25">
      <c r="A3894" s="1325" t="s">
        <v>1591</v>
      </c>
      <c r="B3894" s="402" t="s">
        <v>2471</v>
      </c>
      <c r="C3894" s="403"/>
      <c r="D3894" s="404"/>
      <c r="E3894" s="760">
        <f>(2800+6550)/2</f>
        <v>4675</v>
      </c>
      <c r="F3894" s="22" t="s">
        <v>215</v>
      </c>
      <c r="G3894" s="730"/>
      <c r="H3894" s="649"/>
      <c r="I3894" s="751">
        <v>1.05</v>
      </c>
      <c r="J3894" s="20"/>
      <c r="K3894" s="756">
        <f>+E3894*I3894</f>
        <v>4908.75</v>
      </c>
      <c r="L3894" s="22" t="s">
        <v>215</v>
      </c>
      <c r="N3894" s="502"/>
      <c r="O3894"/>
      <c r="P3894" s="412"/>
      <c r="Q3894" s="391"/>
      <c r="R3894" s="393"/>
    </row>
    <row r="3895" spans="1:21" ht="30" customHeight="1" x14ac:dyDescent="0.25">
      <c r="A3895" s="20"/>
      <c r="B3895" s="410"/>
      <c r="C3895" s="410"/>
      <c r="D3895" s="410"/>
      <c r="E3895" s="405"/>
      <c r="F3895" s="338" t="s">
        <v>533</v>
      </c>
      <c r="G3895" s="339" t="s">
        <v>534</v>
      </c>
      <c r="H3895" s="339"/>
      <c r="I3895" s="339"/>
      <c r="J3895" s="339"/>
      <c r="K3895" s="340">
        <v>1.07</v>
      </c>
      <c r="L3895" s="10"/>
      <c r="O3895" s="43"/>
      <c r="P3895" s="672"/>
      <c r="Q3895" s="671"/>
      <c r="R3895" s="673"/>
    </row>
    <row r="3896" spans="1:21" ht="30" customHeight="1" x14ac:dyDescent="0.25">
      <c r="A3896" s="20"/>
      <c r="B3896" s="410"/>
      <c r="C3896" s="410"/>
      <c r="D3896" s="410"/>
      <c r="E3896" s="405"/>
      <c r="F3896" s="343"/>
      <c r="G3896" s="344" t="s">
        <v>535</v>
      </c>
      <c r="H3896" s="344"/>
      <c r="I3896" s="344"/>
      <c r="J3896" s="344"/>
      <c r="K3896" s="340">
        <v>1.02</v>
      </c>
      <c r="L3896" s="10"/>
      <c r="O3896" s="43"/>
      <c r="P3896" s="672"/>
      <c r="Q3896" s="671"/>
      <c r="R3896" s="673"/>
    </row>
    <row r="3897" spans="1:21" ht="30" customHeight="1" x14ac:dyDescent="0.25">
      <c r="A3897" s="1494"/>
      <c r="B3897" s="524"/>
      <c r="C3897" s="524"/>
      <c r="D3897" s="407"/>
      <c r="E3897" s="405"/>
      <c r="F3897" s="22"/>
      <c r="G3897" s="730"/>
      <c r="H3897" s="649"/>
      <c r="I3897" s="751"/>
      <c r="J3897" s="20" t="s">
        <v>358</v>
      </c>
      <c r="K3897" s="756">
        <f>+K3894*K3895/K3896</f>
        <v>5149.375</v>
      </c>
      <c r="L3897" s="20" t="s">
        <v>215</v>
      </c>
      <c r="O3897"/>
      <c r="P3897" s="412"/>
      <c r="Q3897" s="391"/>
      <c r="R3897" s="393"/>
    </row>
    <row r="3898" spans="1:21" ht="30" customHeight="1" thickBot="1" x14ac:dyDescent="0.3">
      <c r="A3898" s="1496"/>
      <c r="B3898" s="1497"/>
      <c r="C3898" s="1497"/>
      <c r="D3898" s="1498"/>
      <c r="E3898" s="18"/>
      <c r="F3898" s="18"/>
      <c r="G3898" s="413" t="s">
        <v>537</v>
      </c>
      <c r="H3898" s="18"/>
      <c r="I3898" s="18"/>
      <c r="J3898" s="361">
        <f>VLOOKUP(B3892,'Mil Cost Premiums for RUCs'!$A$4:$R$265,18,FALSE)</f>
        <v>1.1199953840399997</v>
      </c>
      <c r="K3898" s="23">
        <f>+K3897*J3898</f>
        <v>5767.2762306909735</v>
      </c>
      <c r="L3898" s="20" t="s">
        <v>215</v>
      </c>
      <c r="O3898" s="1499"/>
      <c r="P3898" s="925"/>
      <c r="Q3898" s="925"/>
      <c r="R3898" s="925"/>
      <c r="S3898" s="60"/>
      <c r="T3898" s="60"/>
      <c r="U3898" s="43"/>
    </row>
    <row r="3899" spans="1:21" ht="30" customHeight="1" thickBot="1" x14ac:dyDescent="0.3">
      <c r="A3899" s="76"/>
      <c r="B3899" s="77"/>
      <c r="C3899" s="77"/>
      <c r="D3899" s="77"/>
      <c r="E3899" s="77"/>
      <c r="F3899" s="77"/>
      <c r="G3899" s="77"/>
      <c r="H3899" s="77"/>
      <c r="I3899" s="77"/>
      <c r="J3899" s="77"/>
      <c r="K3899" s="77"/>
      <c r="L3899" s="78"/>
      <c r="M3899" s="419"/>
      <c r="P3899" s="43"/>
      <c r="Q3899" s="43"/>
      <c r="R3899" s="43"/>
      <c r="S3899" s="60"/>
      <c r="T3899" s="60"/>
      <c r="U3899" s="43"/>
    </row>
    <row r="3900" spans="1:21" s="128" customFormat="1" ht="30" customHeight="1" x14ac:dyDescent="0.25">
      <c r="A3900" s="207" t="s">
        <v>288</v>
      </c>
      <c r="B3900" s="208">
        <v>8115</v>
      </c>
      <c r="C3900" s="209" t="s">
        <v>2472</v>
      </c>
      <c r="D3900" s="210"/>
      <c r="E3900" s="177" t="s">
        <v>291</v>
      </c>
      <c r="F3900" s="178" t="s">
        <v>215</v>
      </c>
      <c r="G3900" s="123" t="s">
        <v>375</v>
      </c>
      <c r="H3900" s="179">
        <v>322</v>
      </c>
      <c r="I3900" s="177" t="s">
        <v>292</v>
      </c>
      <c r="J3900" s="38" t="s">
        <v>883</v>
      </c>
      <c r="K3900" s="38"/>
      <c r="L3900" s="389"/>
      <c r="M3900" s="425"/>
      <c r="N3900" s="25"/>
      <c r="O3900" s="27"/>
      <c r="P3900" s="43"/>
      <c r="Q3900" s="43"/>
      <c r="R3900" s="43"/>
      <c r="S3900" s="60"/>
      <c r="T3900" s="60"/>
      <c r="U3900" s="925"/>
    </row>
    <row r="3901" spans="1:21" s="49" customFormat="1" ht="30" customHeight="1" x14ac:dyDescent="0.25">
      <c r="A3901" s="185" t="s">
        <v>529</v>
      </c>
      <c r="B3901" s="394" t="s">
        <v>560</v>
      </c>
      <c r="C3901" s="395"/>
      <c r="D3901" s="396"/>
      <c r="E3901" s="397" t="s">
        <v>519</v>
      </c>
      <c r="F3901" s="397" t="s">
        <v>561</v>
      </c>
      <c r="G3901" s="398" t="s">
        <v>562</v>
      </c>
      <c r="H3901" s="399"/>
      <c r="I3901" s="181" t="s">
        <v>530</v>
      </c>
      <c r="J3901" s="181"/>
      <c r="K3901" s="493" t="s">
        <v>521</v>
      </c>
      <c r="L3901" s="494"/>
      <c r="M3901" s="419"/>
      <c r="N3901" s="420"/>
      <c r="O3901" s="27"/>
      <c r="U3901" s="50"/>
    </row>
    <row r="3902" spans="1:21" ht="30" customHeight="1" x14ac:dyDescent="0.25">
      <c r="A3902" s="1325" t="s">
        <v>2473</v>
      </c>
      <c r="B3902" s="402" t="s">
        <v>2474</v>
      </c>
      <c r="C3902" s="403"/>
      <c r="D3902" s="404"/>
      <c r="E3902" s="760">
        <f>2950*1000</f>
        <v>2950000</v>
      </c>
      <c r="F3902" s="22" t="s">
        <v>2475</v>
      </c>
      <c r="G3902" s="730">
        <v>300</v>
      </c>
      <c r="H3902" s="649" t="s">
        <v>2476</v>
      </c>
      <c r="I3902" s="751">
        <v>1.02</v>
      </c>
      <c r="J3902" s="20"/>
      <c r="K3902" s="756">
        <f>+E3902/G3902*I3902</f>
        <v>10030</v>
      </c>
      <c r="L3902" s="22" t="s">
        <v>215</v>
      </c>
      <c r="M3902" s="670"/>
      <c r="N3902" s="420"/>
      <c r="O3902" s="42"/>
      <c r="P3902" s="41"/>
      <c r="Q3902" s="41"/>
      <c r="R3902" s="41"/>
      <c r="S3902" s="41"/>
      <c r="T3902" s="41"/>
      <c r="U3902" s="43"/>
    </row>
    <row r="3903" spans="1:21" s="41" customFormat="1" ht="30" customHeight="1" x14ac:dyDescent="0.25">
      <c r="A3903" s="1325" t="s">
        <v>2473</v>
      </c>
      <c r="B3903" s="503" t="s">
        <v>2477</v>
      </c>
      <c r="C3903" s="504"/>
      <c r="D3903" s="505"/>
      <c r="E3903" s="405">
        <v>197000</v>
      </c>
      <c r="F3903" s="22" t="s">
        <v>215</v>
      </c>
      <c r="G3903" s="730">
        <v>300</v>
      </c>
      <c r="H3903" s="649" t="s">
        <v>2476</v>
      </c>
      <c r="I3903" s="751">
        <v>1.02</v>
      </c>
      <c r="J3903" s="20"/>
      <c r="K3903" s="756">
        <f>+E3903/G3903*I3903</f>
        <v>669.8</v>
      </c>
      <c r="L3903" s="20" t="s">
        <v>215</v>
      </c>
      <c r="M3903" s="670"/>
      <c r="N3903" s="420"/>
      <c r="O3903" s="42"/>
    </row>
    <row r="3904" spans="1:21" s="41" customFormat="1" ht="30" customHeight="1" x14ac:dyDescent="0.25">
      <c r="A3904" s="1325" t="s">
        <v>2473</v>
      </c>
      <c r="B3904" s="503" t="s">
        <v>2478</v>
      </c>
      <c r="C3904" s="504"/>
      <c r="D3904" s="505"/>
      <c r="E3904" s="405">
        <f>720*20</f>
        <v>14400</v>
      </c>
      <c r="F3904" s="22" t="s">
        <v>2479</v>
      </c>
      <c r="G3904" s="730">
        <v>300</v>
      </c>
      <c r="H3904" s="649" t="s">
        <v>2476</v>
      </c>
      <c r="I3904" s="751">
        <v>1.02</v>
      </c>
      <c r="J3904" s="20"/>
      <c r="K3904" s="756">
        <f>+E3904/G3904*I3904</f>
        <v>48.96</v>
      </c>
      <c r="L3904" s="20" t="s">
        <v>215</v>
      </c>
      <c r="M3904" s="419"/>
      <c r="N3904" s="671"/>
      <c r="O3904" s="42"/>
    </row>
    <row r="3905" spans="1:20" s="41" customFormat="1" ht="30" customHeight="1" x14ac:dyDescent="0.25">
      <c r="A3905" s="1325" t="s">
        <v>2473</v>
      </c>
      <c r="B3905" s="503" t="s">
        <v>2480</v>
      </c>
      <c r="C3905" s="504"/>
      <c r="D3905" s="505"/>
      <c r="E3905" s="405">
        <f>7600*10</f>
        <v>76000</v>
      </c>
      <c r="F3905" s="22" t="s">
        <v>2481</v>
      </c>
      <c r="G3905" s="730">
        <v>300</v>
      </c>
      <c r="H3905" s="649" t="s">
        <v>2476</v>
      </c>
      <c r="I3905" s="751">
        <v>1.02</v>
      </c>
      <c r="J3905" s="20"/>
      <c r="K3905" s="756">
        <f>+E3905/G3905*I3905</f>
        <v>258.40000000000003</v>
      </c>
      <c r="L3905" s="20" t="s">
        <v>215</v>
      </c>
      <c r="M3905" s="419"/>
      <c r="N3905" s="671"/>
      <c r="O3905" s="42"/>
    </row>
    <row r="3906" spans="1:20" s="41" customFormat="1" ht="30" customHeight="1" x14ac:dyDescent="0.25">
      <c r="A3906" s="1494"/>
      <c r="B3906" s="524"/>
      <c r="C3906" s="524"/>
      <c r="D3906" s="407"/>
      <c r="E3906" s="405"/>
      <c r="F3906" s="22"/>
      <c r="G3906" s="730"/>
      <c r="H3906" s="649"/>
      <c r="I3906" s="751"/>
      <c r="J3906" s="20" t="s">
        <v>578</v>
      </c>
      <c r="K3906" s="756">
        <f>SUM(K3902:K3905)</f>
        <v>11007.159999999998</v>
      </c>
      <c r="L3906" s="20" t="s">
        <v>215</v>
      </c>
      <c r="M3906" s="556"/>
      <c r="N3906" s="420"/>
      <c r="O3906" s="42"/>
    </row>
    <row r="3907" spans="1:20" ht="30" customHeight="1" x14ac:dyDescent="0.25">
      <c r="A3907" s="20"/>
      <c r="B3907" s="410"/>
      <c r="C3907" s="410"/>
      <c r="D3907" s="410"/>
      <c r="E3907" s="405"/>
      <c r="F3907" s="338" t="s">
        <v>533</v>
      </c>
      <c r="G3907" s="339" t="s">
        <v>534</v>
      </c>
      <c r="H3907" s="339"/>
      <c r="I3907" s="339"/>
      <c r="J3907" s="339"/>
      <c r="K3907" s="340">
        <v>1.07</v>
      </c>
      <c r="L3907" s="10"/>
      <c r="N3907" s="420"/>
      <c r="P3907" s="43"/>
      <c r="Q3907" s="43"/>
      <c r="R3907" s="43"/>
      <c r="S3907" s="60"/>
      <c r="T3907" s="60"/>
    </row>
    <row r="3908" spans="1:20" ht="30" customHeight="1" x14ac:dyDescent="0.25">
      <c r="A3908" s="20"/>
      <c r="B3908" s="410"/>
      <c r="C3908" s="410"/>
      <c r="D3908" s="410"/>
      <c r="E3908" s="405"/>
      <c r="F3908" s="343"/>
      <c r="G3908" s="344" t="s">
        <v>535</v>
      </c>
      <c r="H3908" s="344"/>
      <c r="I3908" s="344"/>
      <c r="J3908" s="344"/>
      <c r="K3908" s="340">
        <v>1.02</v>
      </c>
      <c r="L3908" s="10"/>
      <c r="M3908" s="502"/>
      <c r="N3908" s="420"/>
      <c r="P3908" s="43"/>
      <c r="Q3908" s="43"/>
      <c r="R3908" s="43"/>
      <c r="S3908" s="60"/>
      <c r="T3908" s="60"/>
    </row>
    <row r="3909" spans="1:20" ht="30" customHeight="1" x14ac:dyDescent="0.25">
      <c r="A3909" s="1494"/>
      <c r="B3909" s="524"/>
      <c r="C3909" s="524"/>
      <c r="D3909" s="407"/>
      <c r="E3909" s="405"/>
      <c r="F3909" s="22"/>
      <c r="G3909" s="730"/>
      <c r="H3909" s="649"/>
      <c r="I3909" s="751"/>
      <c r="J3909" s="20" t="s">
        <v>358</v>
      </c>
      <c r="K3909" s="756">
        <f>+K3906*K3907/K3908</f>
        <v>11546.726666666666</v>
      </c>
      <c r="L3909" s="20" t="s">
        <v>215</v>
      </c>
      <c r="M3909" s="556"/>
      <c r="N3909" s="556"/>
      <c r="O3909"/>
      <c r="P3909" s="412"/>
      <c r="Q3909" s="391"/>
      <c r="R3909" s="393"/>
    </row>
    <row r="3910" spans="1:20" ht="30" customHeight="1" thickBot="1" x14ac:dyDescent="0.3">
      <c r="A3910" s="1496" t="s">
        <v>2482</v>
      </c>
      <c r="B3910" s="1497"/>
      <c r="C3910" s="1497"/>
      <c r="D3910" s="1498"/>
      <c r="E3910" s="18"/>
      <c r="F3910" s="18"/>
      <c r="G3910" s="413" t="s">
        <v>537</v>
      </c>
      <c r="H3910" s="18"/>
      <c r="I3910" s="18"/>
      <c r="J3910" s="361">
        <f>VLOOKUP(B3900,'Mil Cost Premiums for RUCs'!$A$4:$R$265,18,FALSE)</f>
        <v>1.1199953840399997</v>
      </c>
      <c r="K3910" s="23">
        <f>+K3906*J3910</f>
        <v>12327.968391389721</v>
      </c>
      <c r="L3910" s="20" t="s">
        <v>215</v>
      </c>
      <c r="N3910" s="502"/>
      <c r="O3910"/>
      <c r="P3910" s="412"/>
      <c r="Q3910" s="391"/>
      <c r="R3910" s="393"/>
    </row>
    <row r="3911" spans="1:20" ht="30" customHeight="1" thickBot="1" x14ac:dyDescent="0.3">
      <c r="A3911" s="76"/>
      <c r="B3911" s="77"/>
      <c r="C3911" s="77"/>
      <c r="D3911" s="77"/>
      <c r="E3911" s="77"/>
      <c r="F3911" s="77"/>
      <c r="G3911" s="77"/>
      <c r="H3911" s="77"/>
      <c r="I3911" s="77"/>
      <c r="J3911" s="77"/>
      <c r="K3911" s="77"/>
      <c r="L3911" s="78"/>
      <c r="O3911"/>
      <c r="P3911" s="412"/>
      <c r="Q3911" s="391"/>
      <c r="R3911" s="393"/>
    </row>
    <row r="3912" spans="1:20" s="49" customFormat="1" ht="30" customHeight="1" x14ac:dyDescent="0.25">
      <c r="A3912" s="207" t="s">
        <v>288</v>
      </c>
      <c r="B3912" s="208">
        <v>8121</v>
      </c>
      <c r="C3912" s="282" t="s">
        <v>2483</v>
      </c>
      <c r="D3912" s="283"/>
      <c r="E3912" s="177" t="s">
        <v>291</v>
      </c>
      <c r="F3912" s="178" t="s">
        <v>7</v>
      </c>
      <c r="G3912" s="123" t="s">
        <v>375</v>
      </c>
      <c r="H3912" s="302">
        <v>47139</v>
      </c>
      <c r="I3912" s="177" t="s">
        <v>292</v>
      </c>
      <c r="J3912" s="38" t="s">
        <v>623</v>
      </c>
      <c r="K3912" s="38"/>
      <c r="L3912" s="389"/>
      <c r="M3912" s="341"/>
      <c r="N3912" s="342"/>
      <c r="P3912" s="412"/>
      <c r="Q3912" s="391"/>
      <c r="R3912" s="393"/>
    </row>
    <row r="3913" spans="1:20" ht="30" customHeight="1" x14ac:dyDescent="0.25">
      <c r="A3913" s="181" t="s">
        <v>517</v>
      </c>
      <c r="B3913" s="180" t="s">
        <v>295</v>
      </c>
      <c r="C3913" s="180"/>
      <c r="D3913" s="180"/>
      <c r="E3913" s="285" t="s">
        <v>2484</v>
      </c>
      <c r="F3913" s="181" t="s">
        <v>518</v>
      </c>
      <c r="G3913" s="665" t="s">
        <v>562</v>
      </c>
      <c r="H3913" s="666"/>
      <c r="I3913" s="286" t="s">
        <v>520</v>
      </c>
      <c r="J3913" s="287"/>
      <c r="K3913" s="493" t="s">
        <v>521</v>
      </c>
      <c r="L3913" s="494"/>
      <c r="M3913" s="341"/>
      <c r="N3913" s="342"/>
      <c r="O3913"/>
      <c r="P3913" s="412"/>
      <c r="Q3913" s="391"/>
      <c r="R3913" s="393"/>
    </row>
    <row r="3914" spans="1:20" ht="30" customHeight="1" x14ac:dyDescent="0.25">
      <c r="A3914" s="20">
        <v>81241</v>
      </c>
      <c r="B3914" s="402" t="s">
        <v>2485</v>
      </c>
      <c r="C3914" s="403"/>
      <c r="D3914" s="404"/>
      <c r="E3914" s="405">
        <v>48430</v>
      </c>
      <c r="F3914" s="729">
        <v>1000</v>
      </c>
      <c r="G3914" s="730">
        <v>1000</v>
      </c>
      <c r="H3914" s="649" t="s">
        <v>2486</v>
      </c>
      <c r="I3914" s="1109">
        <f>+'MILCON Inflation Table'!$F$17</f>
        <v>0.9432470865927236</v>
      </c>
      <c r="J3914" s="1110"/>
      <c r="K3914" s="304">
        <f>+E3914/G3914*I3914</f>
        <v>45.681456403685601</v>
      </c>
      <c r="L3914" s="290" t="s">
        <v>7</v>
      </c>
      <c r="M3914" s="341"/>
      <c r="N3914" s="342"/>
      <c r="O3914" s="43"/>
      <c r="P3914" s="672"/>
      <c r="Q3914" s="671"/>
      <c r="R3914" s="673"/>
    </row>
    <row r="3915" spans="1:20" ht="30" customHeight="1" x14ac:dyDescent="0.25">
      <c r="A3915" s="20">
        <v>81241</v>
      </c>
      <c r="B3915" s="402" t="s">
        <v>2487</v>
      </c>
      <c r="C3915" s="403"/>
      <c r="D3915" s="404"/>
      <c r="E3915" s="405">
        <v>45520</v>
      </c>
      <c r="F3915" s="729">
        <v>1000</v>
      </c>
      <c r="G3915" s="730">
        <v>1000</v>
      </c>
      <c r="H3915" s="649" t="s">
        <v>2486</v>
      </c>
      <c r="I3915" s="1109">
        <f>+'MILCON Inflation Table'!$F$17</f>
        <v>0.9432470865927236</v>
      </c>
      <c r="J3915" s="1110"/>
      <c r="K3915" s="304">
        <f>+E3915/G3915*I3915</f>
        <v>42.936607381700782</v>
      </c>
      <c r="L3915" s="290" t="s">
        <v>7</v>
      </c>
      <c r="M3915" s="341"/>
      <c r="N3915" s="342"/>
      <c r="O3915" s="43"/>
      <c r="P3915" s="672"/>
      <c r="Q3915" s="671"/>
      <c r="R3915" s="673"/>
    </row>
    <row r="3916" spans="1:20" ht="30" customHeight="1" x14ac:dyDescent="0.25">
      <c r="A3916" s="20"/>
      <c r="B3916" s="523"/>
      <c r="C3916" s="524"/>
      <c r="D3916" s="407"/>
      <c r="E3916" s="682"/>
      <c r="F3916" s="1124"/>
      <c r="G3916" s="657"/>
      <c r="H3916" s="649"/>
      <c r="I3916" s="1127"/>
      <c r="J3916" s="764" t="s">
        <v>536</v>
      </c>
      <c r="K3916" s="304">
        <f>AVERAGE(K3914:K3915)</f>
        <v>44.309031892693191</v>
      </c>
      <c r="L3916" s="290" t="s">
        <v>7</v>
      </c>
      <c r="N3916" s="342"/>
      <c r="O3916"/>
      <c r="P3916" s="412"/>
      <c r="Q3916" s="391"/>
      <c r="R3916" s="393"/>
    </row>
    <row r="3917" spans="1:20" ht="30" customHeight="1" thickBot="1" x14ac:dyDescent="0.3">
      <c r="A3917" s="20"/>
      <c r="B3917" s="503"/>
      <c r="C3917" s="504"/>
      <c r="D3917" s="505"/>
      <c r="E3917" s="465"/>
      <c r="F3917" s="763"/>
      <c r="G3917" s="465"/>
      <c r="H3917" s="764"/>
      <c r="I3917" s="18"/>
      <c r="J3917" s="185" t="s">
        <v>358</v>
      </c>
      <c r="K3917" s="305">
        <f>+K3916</f>
        <v>44.309031892693191</v>
      </c>
      <c r="L3917" s="290" t="s">
        <v>7</v>
      </c>
      <c r="N3917" s="342"/>
      <c r="O3917"/>
      <c r="P3917" s="412"/>
      <c r="Q3917" s="391"/>
      <c r="R3917" s="393"/>
    </row>
    <row r="3918" spans="1:20" ht="30" customHeight="1" thickBot="1" x14ac:dyDescent="0.3">
      <c r="A3918" s="76"/>
      <c r="B3918" s="77"/>
      <c r="C3918" s="77"/>
      <c r="D3918" s="77"/>
      <c r="E3918" s="77"/>
      <c r="F3918" s="77"/>
      <c r="G3918" s="77"/>
      <c r="H3918" s="77"/>
      <c r="I3918" s="77"/>
      <c r="J3918" s="77"/>
      <c r="K3918" s="77"/>
      <c r="L3918" s="78"/>
      <c r="M3918" s="419"/>
      <c r="O3918"/>
      <c r="P3918" s="412"/>
      <c r="Q3918" s="391"/>
      <c r="R3918" s="393"/>
    </row>
    <row r="3919" spans="1:20" ht="30" customHeight="1" x14ac:dyDescent="0.25">
      <c r="A3919" s="30" t="s">
        <v>288</v>
      </c>
      <c r="B3919" s="31">
        <v>8122</v>
      </c>
      <c r="C3919" s="1500" t="s">
        <v>2488</v>
      </c>
      <c r="D3919" s="487"/>
      <c r="E3919" s="177" t="s">
        <v>291</v>
      </c>
      <c r="F3919" s="178" t="s">
        <v>11</v>
      </c>
      <c r="G3919" s="465" t="s">
        <v>290</v>
      </c>
      <c r="H3919" s="1371">
        <v>1</v>
      </c>
      <c r="I3919" s="177" t="s">
        <v>292</v>
      </c>
      <c r="J3919" s="38" t="s">
        <v>883</v>
      </c>
      <c r="K3919" s="38"/>
      <c r="L3919" s="389"/>
      <c r="M3919" s="425"/>
      <c r="O3919"/>
      <c r="P3919" s="412"/>
      <c r="Q3919" s="391"/>
      <c r="R3919" s="393"/>
    </row>
    <row r="3920" spans="1:20" s="49" customFormat="1" ht="30" customHeight="1" x14ac:dyDescent="0.25">
      <c r="A3920" s="48" t="s">
        <v>529</v>
      </c>
      <c r="B3920" s="490" t="s">
        <v>560</v>
      </c>
      <c r="C3920" s="491"/>
      <c r="D3920" s="492"/>
      <c r="E3920" s="397" t="s">
        <v>519</v>
      </c>
      <c r="F3920" s="397" t="s">
        <v>561</v>
      </c>
      <c r="G3920" s="1501" t="s">
        <v>562</v>
      </c>
      <c r="H3920" s="1502"/>
      <c r="I3920" s="181" t="s">
        <v>530</v>
      </c>
      <c r="J3920" s="181"/>
      <c r="K3920" s="493" t="s">
        <v>521</v>
      </c>
      <c r="L3920" s="494"/>
      <c r="M3920" s="419"/>
      <c r="N3920" s="420"/>
      <c r="P3920" s="412"/>
      <c r="Q3920" s="391"/>
      <c r="R3920" s="393"/>
    </row>
    <row r="3921" spans="1:18" ht="30" customHeight="1" x14ac:dyDescent="0.25">
      <c r="A3921" s="61" t="s">
        <v>574</v>
      </c>
      <c r="B3921" s="192" t="s">
        <v>2489</v>
      </c>
      <c r="C3921" s="192"/>
      <c r="D3921" s="192"/>
      <c r="E3921" s="405">
        <v>2900</v>
      </c>
      <c r="F3921" s="730" t="s">
        <v>11</v>
      </c>
      <c r="G3921" s="406"/>
      <c r="H3921" s="407"/>
      <c r="I3921" s="649">
        <v>1.04</v>
      </c>
      <c r="J3921" s="20"/>
      <c r="K3921" s="405">
        <f>+E3921*I3921</f>
        <v>3016</v>
      </c>
      <c r="L3921" s="20" t="s">
        <v>11</v>
      </c>
      <c r="M3921" s="670"/>
      <c r="N3921" s="420"/>
      <c r="O3921"/>
      <c r="P3921" s="412"/>
      <c r="Q3921" s="391"/>
      <c r="R3921" s="393"/>
    </row>
    <row r="3922" spans="1:18" ht="30" customHeight="1" x14ac:dyDescent="0.25">
      <c r="A3922" s="61"/>
      <c r="B3922" s="498"/>
      <c r="C3922" s="498"/>
      <c r="D3922" s="498"/>
      <c r="E3922" s="405"/>
      <c r="F3922" s="338" t="s">
        <v>533</v>
      </c>
      <c r="G3922" s="339" t="s">
        <v>534</v>
      </c>
      <c r="H3922" s="339"/>
      <c r="I3922" s="339"/>
      <c r="J3922" s="339"/>
      <c r="K3922" s="340">
        <v>1.07</v>
      </c>
      <c r="L3922" s="10"/>
      <c r="M3922" s="670"/>
      <c r="N3922" s="420"/>
      <c r="O3922" s="43"/>
      <c r="P3922" s="672"/>
      <c r="Q3922" s="671"/>
      <c r="R3922" s="673"/>
    </row>
    <row r="3923" spans="1:18" ht="30" customHeight="1" x14ac:dyDescent="0.25">
      <c r="A3923" s="61"/>
      <c r="B3923" s="498"/>
      <c r="C3923" s="498"/>
      <c r="D3923" s="498"/>
      <c r="E3923" s="405"/>
      <c r="F3923" s="343"/>
      <c r="G3923" s="344" t="s">
        <v>535</v>
      </c>
      <c r="H3923" s="344"/>
      <c r="I3923" s="344"/>
      <c r="J3923" s="344"/>
      <c r="K3923" s="340">
        <v>1.02</v>
      </c>
      <c r="L3923" s="10"/>
      <c r="M3923" s="419"/>
      <c r="N3923" s="671"/>
      <c r="O3923" s="43"/>
      <c r="P3923" s="672"/>
      <c r="Q3923" s="671"/>
      <c r="R3923" s="673"/>
    </row>
    <row r="3924" spans="1:18" ht="30" customHeight="1" x14ac:dyDescent="0.25">
      <c r="A3924" s="61"/>
      <c r="B3924" s="61"/>
      <c r="C3924" s="63"/>
      <c r="D3924" s="63"/>
      <c r="E3924" s="18"/>
      <c r="F3924" s="18"/>
      <c r="G3924" s="246"/>
      <c r="H3924" s="246"/>
      <c r="I3924" s="18"/>
      <c r="J3924" s="18" t="s">
        <v>358</v>
      </c>
      <c r="K3924" s="23">
        <f>+K3921*K3922/K3923</f>
        <v>3163.8431372549021</v>
      </c>
      <c r="L3924" s="20" t="s">
        <v>11</v>
      </c>
      <c r="M3924" s="419"/>
      <c r="N3924" s="671"/>
      <c r="O3924"/>
      <c r="P3924" s="412"/>
      <c r="Q3924" s="391"/>
      <c r="R3924" s="393"/>
    </row>
    <row r="3925" spans="1:18" ht="30" customHeight="1" thickBot="1" x14ac:dyDescent="0.3">
      <c r="A3925" s="61"/>
      <c r="B3925" s="61"/>
      <c r="C3925" s="63"/>
      <c r="D3925" s="63"/>
      <c r="E3925" s="18"/>
      <c r="F3925" s="18"/>
      <c r="G3925" s="413" t="s">
        <v>537</v>
      </c>
      <c r="H3925" s="18"/>
      <c r="I3925" s="18"/>
      <c r="J3925" s="361">
        <f>VLOOKUP(B3919,'Mil Cost Premiums for RUCs'!$A$4:$R$265,18,FALSE)</f>
        <v>1.0905505199999999</v>
      </c>
      <c r="K3925" s="23">
        <f>+K3924*J3925</f>
        <v>3450.3307785317643</v>
      </c>
      <c r="L3925" s="20" t="s">
        <v>11</v>
      </c>
      <c r="M3925" s="419"/>
      <c r="N3925" s="420"/>
      <c r="O3925"/>
      <c r="P3925" s="412"/>
      <c r="Q3925" s="391"/>
      <c r="R3925" s="393"/>
    </row>
    <row r="3926" spans="1:18" ht="30" customHeight="1" thickBot="1" x14ac:dyDescent="0.3">
      <c r="A3926" s="76"/>
      <c r="B3926" s="77"/>
      <c r="C3926" s="77"/>
      <c r="D3926" s="77"/>
      <c r="E3926" s="77"/>
      <c r="F3926" s="77"/>
      <c r="G3926" s="77"/>
      <c r="H3926" s="77"/>
      <c r="I3926" s="77"/>
      <c r="J3926" s="77"/>
      <c r="K3926" s="77"/>
      <c r="L3926" s="78"/>
      <c r="M3926" s="419"/>
      <c r="N3926" s="420"/>
      <c r="O3926"/>
      <c r="P3926" s="412"/>
      <c r="Q3926" s="391"/>
      <c r="R3926" s="393"/>
    </row>
    <row r="3927" spans="1:18" ht="30" customHeight="1" x14ac:dyDescent="0.25">
      <c r="A3927" s="207" t="s">
        <v>288</v>
      </c>
      <c r="B3927" s="208">
        <v>8123</v>
      </c>
      <c r="C3927" s="282" t="s">
        <v>2490</v>
      </c>
      <c r="D3927" s="283"/>
      <c r="E3927" s="177" t="s">
        <v>291</v>
      </c>
      <c r="F3927" s="178" t="s">
        <v>7</v>
      </c>
      <c r="G3927" s="123" t="s">
        <v>375</v>
      </c>
      <c r="H3927" s="302">
        <v>20776</v>
      </c>
      <c r="I3927" s="177" t="s">
        <v>292</v>
      </c>
      <c r="J3927" s="38" t="s">
        <v>623</v>
      </c>
      <c r="K3927" s="38"/>
      <c r="L3927" s="389"/>
      <c r="M3927" s="1315"/>
      <c r="N3927" s="420"/>
      <c r="O3927"/>
      <c r="P3927" s="412"/>
      <c r="Q3927" s="391"/>
      <c r="R3927" s="393"/>
    </row>
    <row r="3928" spans="1:18" s="49" customFormat="1" ht="30" customHeight="1" x14ac:dyDescent="0.25">
      <c r="A3928" s="181" t="s">
        <v>517</v>
      </c>
      <c r="B3928" s="180" t="s">
        <v>295</v>
      </c>
      <c r="C3928" s="180"/>
      <c r="D3928" s="180"/>
      <c r="E3928" s="285" t="s">
        <v>2491</v>
      </c>
      <c r="F3928" s="181" t="s">
        <v>518</v>
      </c>
      <c r="G3928" s="665" t="s">
        <v>562</v>
      </c>
      <c r="H3928" s="666"/>
      <c r="I3928" s="286" t="s">
        <v>520</v>
      </c>
      <c r="J3928" s="287"/>
      <c r="K3928" s="493" t="s">
        <v>521</v>
      </c>
      <c r="L3928" s="494"/>
      <c r="M3928" s="419"/>
      <c r="N3928" s="420"/>
      <c r="P3928" s="412"/>
      <c r="Q3928" s="391"/>
      <c r="R3928" s="393"/>
    </row>
    <row r="3929" spans="1:18" ht="45" customHeight="1" x14ac:dyDescent="0.25">
      <c r="A3929" s="20">
        <v>81242</v>
      </c>
      <c r="B3929" s="402" t="s">
        <v>2492</v>
      </c>
      <c r="C3929" s="403"/>
      <c r="D3929" s="404"/>
      <c r="E3929" s="405">
        <v>19.5</v>
      </c>
      <c r="F3929" s="729" t="s">
        <v>704</v>
      </c>
      <c r="G3929" s="730"/>
      <c r="H3929" s="649"/>
      <c r="I3929" s="1109">
        <f>+'MILCON Inflation Table'!$F$16</f>
        <v>0.96211202832457809</v>
      </c>
      <c r="J3929" s="1110"/>
      <c r="K3929" s="304">
        <f t="shared" ref="K3929:K3934" si="58">+E3929*I3929</f>
        <v>18.761184552329272</v>
      </c>
      <c r="L3929" s="290" t="s">
        <v>7</v>
      </c>
      <c r="M3929" s="1335"/>
      <c r="N3929" s="420"/>
      <c r="O3929"/>
      <c r="P3929" s="412"/>
      <c r="Q3929" s="391"/>
      <c r="R3929" s="393"/>
    </row>
    <row r="3930" spans="1:18" ht="45" customHeight="1" x14ac:dyDescent="0.25">
      <c r="A3930" s="20">
        <v>81242</v>
      </c>
      <c r="B3930" s="402" t="s">
        <v>2493</v>
      </c>
      <c r="C3930" s="403"/>
      <c r="D3930" s="404"/>
      <c r="E3930" s="405">
        <v>28.7</v>
      </c>
      <c r="F3930" s="729" t="s">
        <v>704</v>
      </c>
      <c r="G3930" s="730"/>
      <c r="H3930" s="649"/>
      <c r="I3930" s="1109">
        <f>+'MILCON Inflation Table'!$F$16</f>
        <v>0.96211202832457809</v>
      </c>
      <c r="J3930" s="1110"/>
      <c r="K3930" s="304">
        <f t="shared" si="58"/>
        <v>27.61261521291539</v>
      </c>
      <c r="L3930" s="290" t="s">
        <v>7</v>
      </c>
      <c r="M3930" s="1335"/>
      <c r="N3930" s="420"/>
      <c r="O3930"/>
      <c r="P3930" s="412"/>
      <c r="Q3930" s="391"/>
      <c r="R3930" s="393"/>
    </row>
    <row r="3931" spans="1:18" ht="30" customHeight="1" x14ac:dyDescent="0.25">
      <c r="A3931" s="20">
        <v>81242</v>
      </c>
      <c r="B3931" s="402" t="s">
        <v>2494</v>
      </c>
      <c r="C3931" s="403"/>
      <c r="D3931" s="404"/>
      <c r="E3931" s="1447">
        <v>19.7</v>
      </c>
      <c r="F3931" s="729" t="s">
        <v>704</v>
      </c>
      <c r="G3931" s="730"/>
      <c r="H3931" s="649"/>
      <c r="I3931" s="1109">
        <f>+'MILCON Inflation Table'!$F$17</f>
        <v>0.9432470865927236</v>
      </c>
      <c r="J3931" s="1110"/>
      <c r="K3931" s="304">
        <f t="shared" si="58"/>
        <v>18.581967605876656</v>
      </c>
      <c r="L3931" s="290" t="s">
        <v>7</v>
      </c>
      <c r="M3931" s="419"/>
      <c r="N3931" s="671"/>
      <c r="O3931"/>
      <c r="P3931" s="412"/>
      <c r="Q3931" s="391"/>
      <c r="R3931" s="393"/>
    </row>
    <row r="3932" spans="1:18" ht="30" customHeight="1" x14ac:dyDescent="0.25">
      <c r="A3932" s="20">
        <v>81242</v>
      </c>
      <c r="B3932" s="402" t="s">
        <v>2495</v>
      </c>
      <c r="C3932" s="403"/>
      <c r="D3932" s="404"/>
      <c r="E3932" s="1447">
        <v>34.6</v>
      </c>
      <c r="F3932" s="729" t="s">
        <v>704</v>
      </c>
      <c r="G3932" s="730"/>
      <c r="H3932" s="649"/>
      <c r="I3932" s="1109">
        <f>+'MILCON Inflation Table'!$F$17</f>
        <v>0.9432470865927236</v>
      </c>
      <c r="J3932" s="1110"/>
      <c r="K3932" s="304">
        <f t="shared" si="58"/>
        <v>32.636349196108235</v>
      </c>
      <c r="L3932" s="290" t="s">
        <v>7</v>
      </c>
      <c r="M3932" s="419"/>
      <c r="N3932" s="671"/>
      <c r="O3932"/>
      <c r="P3932" s="412"/>
      <c r="Q3932" s="391"/>
      <c r="R3932" s="393"/>
    </row>
    <row r="3933" spans="1:18" ht="30" customHeight="1" x14ac:dyDescent="0.25">
      <c r="A3933" s="20">
        <v>81242</v>
      </c>
      <c r="B3933" s="402" t="s">
        <v>2496</v>
      </c>
      <c r="C3933" s="403"/>
      <c r="D3933" s="404"/>
      <c r="E3933" s="23">
        <v>60</v>
      </c>
      <c r="F3933" s="729" t="s">
        <v>704</v>
      </c>
      <c r="G3933" s="730"/>
      <c r="H3933" s="649"/>
      <c r="I3933" s="1109">
        <f>+'MILCON Inflation Table'!$F$17</f>
        <v>0.9432470865927236</v>
      </c>
      <c r="J3933" s="1110"/>
      <c r="K3933" s="304">
        <f t="shared" si="58"/>
        <v>56.594825195563416</v>
      </c>
      <c r="L3933" s="290" t="s">
        <v>7</v>
      </c>
      <c r="M3933" s="419"/>
      <c r="N3933" s="420"/>
      <c r="O3933"/>
      <c r="P3933" s="412"/>
      <c r="Q3933" s="391"/>
      <c r="R3933" s="393"/>
    </row>
    <row r="3934" spans="1:18" ht="30" customHeight="1" x14ac:dyDescent="0.25">
      <c r="A3934" s="20">
        <v>81242</v>
      </c>
      <c r="B3934" s="402" t="s">
        <v>2497</v>
      </c>
      <c r="C3934" s="403"/>
      <c r="D3934" s="404"/>
      <c r="E3934" s="23">
        <v>139</v>
      </c>
      <c r="F3934" s="729" t="s">
        <v>704</v>
      </c>
      <c r="G3934" s="730"/>
      <c r="H3934" s="649"/>
      <c r="I3934" s="1109">
        <f>+'MILCON Inflation Table'!$F$17</f>
        <v>0.9432470865927236</v>
      </c>
      <c r="J3934" s="1110"/>
      <c r="K3934" s="304">
        <f t="shared" si="58"/>
        <v>131.11134503638857</v>
      </c>
      <c r="L3934" s="290" t="s">
        <v>7</v>
      </c>
      <c r="M3934" s="419"/>
      <c r="N3934" s="420"/>
      <c r="O3934" s="43"/>
      <c r="P3934" s="672"/>
      <c r="Q3934" s="671"/>
      <c r="R3934" s="673"/>
    </row>
    <row r="3935" spans="1:18" ht="30" customHeight="1" x14ac:dyDescent="0.25">
      <c r="A3935" s="20"/>
      <c r="B3935" s="523"/>
      <c r="C3935" s="524"/>
      <c r="D3935" s="407"/>
      <c r="E3935" s="1503"/>
      <c r="F3935" s="1124"/>
      <c r="G3935" s="657"/>
      <c r="H3935" s="649"/>
      <c r="I3935" s="1127"/>
      <c r="J3935" s="764" t="s">
        <v>536</v>
      </c>
      <c r="K3935" s="304">
        <f>AVERAGE(K3929:K3934)</f>
        <v>47.549714466530254</v>
      </c>
      <c r="L3935" s="290" t="s">
        <v>7</v>
      </c>
      <c r="M3935" s="425"/>
      <c r="N3935" s="420"/>
      <c r="O3935" s="43"/>
      <c r="P3935" s="672"/>
      <c r="Q3935" s="671"/>
      <c r="R3935" s="673"/>
    </row>
    <row r="3936" spans="1:18" ht="30" customHeight="1" thickBot="1" x14ac:dyDescent="0.3">
      <c r="A3936" s="20"/>
      <c r="B3936" s="214"/>
      <c r="C3936" s="214"/>
      <c r="D3936" s="214"/>
      <c r="E3936" s="465"/>
      <c r="F3936" s="763"/>
      <c r="G3936" s="465"/>
      <c r="H3936" s="764"/>
      <c r="I3936" s="18"/>
      <c r="J3936" s="185" t="s">
        <v>358</v>
      </c>
      <c r="K3936" s="305">
        <f>+K3935</f>
        <v>47.549714466530254</v>
      </c>
      <c r="L3936" s="290" t="s">
        <v>7</v>
      </c>
      <c r="M3936" s="419"/>
      <c r="N3936" s="420"/>
      <c r="O3936"/>
      <c r="P3936" s="412"/>
      <c r="Q3936" s="391"/>
      <c r="R3936" s="393"/>
    </row>
    <row r="3937" spans="1:21" ht="30" customHeight="1" thickBot="1" x14ac:dyDescent="0.3">
      <c r="A3937" s="76"/>
      <c r="B3937" s="77"/>
      <c r="C3937" s="77"/>
      <c r="D3937" s="77"/>
      <c r="E3937" s="77"/>
      <c r="F3937" s="77"/>
      <c r="G3937" s="77"/>
      <c r="H3937" s="77"/>
      <c r="I3937" s="77"/>
      <c r="J3937" s="77"/>
      <c r="K3937" s="77"/>
      <c r="L3937" s="78"/>
      <c r="M3937" s="419"/>
      <c r="N3937" s="420"/>
      <c r="O3937" s="1499"/>
      <c r="P3937" s="925"/>
      <c r="Q3937" s="925"/>
      <c r="R3937" s="925"/>
      <c r="S3937" s="60"/>
      <c r="T3937" s="60"/>
      <c r="U3937" s="43"/>
    </row>
    <row r="3938" spans="1:21" ht="30" customHeight="1" x14ac:dyDescent="0.25">
      <c r="A3938" s="30" t="s">
        <v>288</v>
      </c>
      <c r="B3938" s="31">
        <v>8131</v>
      </c>
      <c r="C3938" s="161" t="s">
        <v>2498</v>
      </c>
      <c r="D3938" s="162"/>
      <c r="E3938" s="36" t="s">
        <v>291</v>
      </c>
      <c r="F3938" s="37" t="s">
        <v>221</v>
      </c>
      <c r="G3938" s="123" t="s">
        <v>375</v>
      </c>
      <c r="H3938" s="179">
        <v>4457</v>
      </c>
      <c r="I3938" s="177" t="s">
        <v>292</v>
      </c>
      <c r="J3938" s="38" t="s">
        <v>2499</v>
      </c>
      <c r="K3938" s="39"/>
      <c r="L3938" s="40"/>
      <c r="M3938" s="419"/>
      <c r="N3938" s="420"/>
      <c r="P3938" s="43"/>
      <c r="Q3938" s="43"/>
      <c r="R3938" s="43"/>
      <c r="S3938" s="60"/>
      <c r="T3938" s="60"/>
      <c r="U3938" s="43"/>
    </row>
    <row r="3939" spans="1:21" s="128" customFormat="1" ht="30" customHeight="1" x14ac:dyDescent="0.25">
      <c r="A3939" s="44" t="s">
        <v>294</v>
      </c>
      <c r="B3939" s="45" t="s">
        <v>295</v>
      </c>
      <c r="C3939" s="45"/>
      <c r="D3939" s="45"/>
      <c r="E3939" s="44" t="s">
        <v>296</v>
      </c>
      <c r="F3939" s="44" t="s">
        <v>2</v>
      </c>
      <c r="G3939" s="181" t="s">
        <v>297</v>
      </c>
      <c r="H3939" s="181" t="s">
        <v>298</v>
      </c>
      <c r="I3939" s="181" t="s">
        <v>299</v>
      </c>
      <c r="J3939" s="185" t="s">
        <v>300</v>
      </c>
      <c r="K3939" s="185" t="s">
        <v>301</v>
      </c>
      <c r="L3939" s="185"/>
      <c r="M3939" s="419"/>
      <c r="N3939" s="420"/>
      <c r="O3939" s="27"/>
      <c r="P3939"/>
      <c r="Q3939"/>
      <c r="R3939"/>
      <c r="S3939"/>
      <c r="T3939"/>
      <c r="U3939" s="925"/>
    </row>
    <row r="3940" spans="1:21" s="49" customFormat="1" ht="30" customHeight="1" x14ac:dyDescent="0.25">
      <c r="A3940" s="51" t="s">
        <v>2500</v>
      </c>
      <c r="B3940" s="1504" t="s">
        <v>2501</v>
      </c>
      <c r="C3940" s="96"/>
      <c r="D3940" s="96"/>
      <c r="E3940" s="97">
        <v>2400</v>
      </c>
      <c r="F3940" s="51" t="s">
        <v>9</v>
      </c>
      <c r="G3940" s="972">
        <v>17921.04</v>
      </c>
      <c r="H3940" s="972">
        <v>16851.86</v>
      </c>
      <c r="I3940" s="972">
        <v>625.61</v>
      </c>
      <c r="J3940" s="972">
        <v>20725.8</v>
      </c>
      <c r="K3940" s="972">
        <v>35398.51</v>
      </c>
      <c r="L3940" s="147" t="s">
        <v>9</v>
      </c>
      <c r="M3940" s="419"/>
      <c r="N3940" s="420"/>
      <c r="O3940" s="27"/>
      <c r="U3940" s="50"/>
    </row>
    <row r="3941" spans="1:21" ht="30" customHeight="1" x14ac:dyDescent="0.25">
      <c r="A3941" s="51" t="s">
        <v>2502</v>
      </c>
      <c r="B3941" s="1504" t="s">
        <v>2503</v>
      </c>
      <c r="C3941" s="96"/>
      <c r="D3941" s="96"/>
      <c r="E3941" s="97">
        <v>3</v>
      </c>
      <c r="F3941" s="51" t="s">
        <v>11</v>
      </c>
      <c r="G3941" s="972">
        <v>96704.38</v>
      </c>
      <c r="H3941" s="972">
        <v>16191</v>
      </c>
      <c r="I3941" s="972">
        <v>1593.25</v>
      </c>
      <c r="J3941" s="972">
        <v>72768.570000000007</v>
      </c>
      <c r="K3941" s="972">
        <v>114488.63</v>
      </c>
      <c r="L3941" s="147" t="s">
        <v>11</v>
      </c>
      <c r="M3941" s="670"/>
      <c r="N3941" s="420"/>
      <c r="U3941" s="43"/>
    </row>
    <row r="3942" spans="1:21" ht="30" customHeight="1" x14ac:dyDescent="0.25">
      <c r="A3942" s="51" t="s">
        <v>2504</v>
      </c>
      <c r="B3942" s="1504" t="s">
        <v>2505</v>
      </c>
      <c r="C3942" s="96"/>
      <c r="D3942" s="96"/>
      <c r="E3942" s="97">
        <v>3</v>
      </c>
      <c r="F3942" s="51" t="s">
        <v>11</v>
      </c>
      <c r="G3942" s="972">
        <v>16183.98</v>
      </c>
      <c r="H3942" s="972">
        <v>7714.42</v>
      </c>
      <c r="I3942" s="972">
        <v>0</v>
      </c>
      <c r="J3942" s="972">
        <v>14540.81</v>
      </c>
      <c r="K3942" s="972">
        <v>23898.400000000001</v>
      </c>
      <c r="L3942" s="147" t="s">
        <v>11</v>
      </c>
      <c r="M3942" s="670"/>
      <c r="N3942" s="420"/>
      <c r="P3942" s="43"/>
      <c r="Q3942" s="43"/>
      <c r="R3942" s="43"/>
      <c r="S3942" s="60"/>
      <c r="T3942" s="60"/>
    </row>
    <row r="3943" spans="1:21" ht="30" customHeight="1" x14ac:dyDescent="0.25">
      <c r="A3943" s="51" t="s">
        <v>2506</v>
      </c>
      <c r="B3943" s="1504" t="s">
        <v>2507</v>
      </c>
      <c r="C3943" s="96"/>
      <c r="D3943" s="96"/>
      <c r="E3943" s="97">
        <v>6</v>
      </c>
      <c r="F3943" s="51" t="s">
        <v>11</v>
      </c>
      <c r="G3943" s="972">
        <v>6462.82</v>
      </c>
      <c r="H3943" s="972">
        <v>2279.42</v>
      </c>
      <c r="I3943" s="972">
        <v>0</v>
      </c>
      <c r="J3943" s="972">
        <v>5400.38</v>
      </c>
      <c r="K3943" s="972">
        <v>8742.24</v>
      </c>
      <c r="L3943" s="147" t="s">
        <v>11</v>
      </c>
      <c r="M3943" s="419"/>
      <c r="N3943" s="671"/>
      <c r="P3943" s="43"/>
      <c r="Q3943" s="43"/>
      <c r="R3943" s="43"/>
      <c r="S3943" s="60"/>
      <c r="T3943" s="60"/>
    </row>
    <row r="3944" spans="1:21" ht="30" customHeight="1" x14ac:dyDescent="0.25">
      <c r="A3944" s="51" t="s">
        <v>2508</v>
      </c>
      <c r="B3944" s="1504" t="s">
        <v>2509</v>
      </c>
      <c r="C3944" s="96"/>
      <c r="D3944" s="96"/>
      <c r="E3944" s="97">
        <v>3</v>
      </c>
      <c r="F3944" s="51" t="s">
        <v>11</v>
      </c>
      <c r="G3944" s="972">
        <v>43646.47</v>
      </c>
      <c r="H3944" s="972">
        <v>0</v>
      </c>
      <c r="I3944" s="972">
        <v>0</v>
      </c>
      <c r="J3944" s="972">
        <v>28665.599999999999</v>
      </c>
      <c r="K3944" s="972">
        <v>43646.47</v>
      </c>
      <c r="L3944" s="147" t="s">
        <v>11</v>
      </c>
      <c r="M3944" s="419"/>
      <c r="N3944" s="671"/>
      <c r="O3944"/>
      <c r="P3944" s="412"/>
      <c r="Q3944" s="391"/>
      <c r="R3944" s="393"/>
    </row>
    <row r="3945" spans="1:21" ht="30" customHeight="1" x14ac:dyDescent="0.25">
      <c r="A3945" s="51" t="s">
        <v>2510</v>
      </c>
      <c r="B3945" s="1504" t="s">
        <v>2511</v>
      </c>
      <c r="C3945" s="96"/>
      <c r="D3945" s="96"/>
      <c r="E3945" s="97">
        <v>6</v>
      </c>
      <c r="F3945" s="51" t="s">
        <v>11</v>
      </c>
      <c r="G3945" s="972">
        <v>489.4</v>
      </c>
      <c r="H3945" s="972">
        <v>1262.56</v>
      </c>
      <c r="I3945" s="972">
        <v>0</v>
      </c>
      <c r="J3945" s="972">
        <v>961.62</v>
      </c>
      <c r="K3945" s="972">
        <v>1751.95</v>
      </c>
      <c r="L3945" s="147" t="s">
        <v>11</v>
      </c>
      <c r="M3945" s="419"/>
      <c r="N3945" s="420"/>
      <c r="O3945"/>
      <c r="P3945" s="412"/>
      <c r="Q3945" s="391"/>
      <c r="R3945" s="393"/>
    </row>
    <row r="3946" spans="1:21" ht="30" customHeight="1" x14ac:dyDescent="0.25">
      <c r="A3946" s="51" t="s">
        <v>2512</v>
      </c>
      <c r="B3946" s="1504" t="s">
        <v>2513</v>
      </c>
      <c r="C3946" s="96"/>
      <c r="D3946" s="96"/>
      <c r="E3946" s="97">
        <v>12</v>
      </c>
      <c r="F3946" s="51" t="s">
        <v>11</v>
      </c>
      <c r="G3946" s="972">
        <v>3355.46</v>
      </c>
      <c r="H3946" s="972">
        <v>4555.95</v>
      </c>
      <c r="I3946" s="972">
        <v>0</v>
      </c>
      <c r="J3946" s="972">
        <v>4513.91</v>
      </c>
      <c r="K3946" s="972">
        <v>7911.41</v>
      </c>
      <c r="L3946" s="147" t="s">
        <v>11</v>
      </c>
      <c r="M3946" s="1339"/>
      <c r="N3946" s="420"/>
      <c r="O3946"/>
      <c r="P3946" s="412"/>
      <c r="Q3946" s="391"/>
      <c r="R3946" s="393"/>
    </row>
    <row r="3947" spans="1:21" s="49" customFormat="1" ht="30" customHeight="1" x14ac:dyDescent="0.25">
      <c r="A3947" s="51" t="s">
        <v>2514</v>
      </c>
      <c r="B3947" s="1504" t="s">
        <v>2515</v>
      </c>
      <c r="C3947" s="96"/>
      <c r="D3947" s="96"/>
      <c r="E3947" s="97">
        <v>1</v>
      </c>
      <c r="F3947" s="51" t="s">
        <v>2516</v>
      </c>
      <c r="G3947" s="972">
        <v>192.78</v>
      </c>
      <c r="H3947" s="972">
        <v>34.08</v>
      </c>
      <c r="I3947" s="972">
        <v>0</v>
      </c>
      <c r="J3947" s="972">
        <v>755.63</v>
      </c>
      <c r="K3947" s="972">
        <v>968.83</v>
      </c>
      <c r="L3947" s="147" t="s">
        <v>2516</v>
      </c>
      <c r="M3947" s="1505"/>
      <c r="N3947" s="420"/>
      <c r="P3947" s="412"/>
      <c r="Q3947" s="391"/>
      <c r="R3947" s="393"/>
    </row>
    <row r="3948" spans="1:21" ht="30" customHeight="1" x14ac:dyDescent="0.25">
      <c r="A3948" s="51" t="s">
        <v>2517</v>
      </c>
      <c r="B3948" s="1504" t="s">
        <v>2518</v>
      </c>
      <c r="C3948" s="96"/>
      <c r="D3948" s="96"/>
      <c r="E3948" s="97">
        <v>9</v>
      </c>
      <c r="F3948" s="51" t="s">
        <v>11</v>
      </c>
      <c r="G3948" s="972">
        <v>45105.1</v>
      </c>
      <c r="H3948" s="972">
        <v>4452.82</v>
      </c>
      <c r="I3948" s="972">
        <v>0</v>
      </c>
      <c r="J3948" s="972">
        <v>31881.43</v>
      </c>
      <c r="K3948" s="972">
        <v>49557.919999999998</v>
      </c>
      <c r="L3948" s="147" t="s">
        <v>11</v>
      </c>
      <c r="M3948" s="1339"/>
      <c r="N3948" s="556"/>
      <c r="O3948"/>
      <c r="P3948" s="412"/>
      <c r="Q3948" s="391"/>
      <c r="R3948" s="393"/>
    </row>
    <row r="3949" spans="1:21" ht="30" customHeight="1" x14ac:dyDescent="0.25">
      <c r="A3949" s="51" t="s">
        <v>2519</v>
      </c>
      <c r="B3949" s="1506" t="s">
        <v>2520</v>
      </c>
      <c r="C3949" s="1507"/>
      <c r="D3949" s="1508"/>
      <c r="E3949" s="97">
        <v>60</v>
      </c>
      <c r="F3949" s="51" t="s">
        <v>7</v>
      </c>
      <c r="G3949" s="972">
        <v>40841.43</v>
      </c>
      <c r="H3949" s="972">
        <v>7218.17</v>
      </c>
      <c r="I3949" s="972">
        <v>0</v>
      </c>
      <c r="J3949" s="972">
        <v>30483.4</v>
      </c>
      <c r="K3949" s="972">
        <v>48059.6</v>
      </c>
      <c r="L3949" s="147" t="s">
        <v>7</v>
      </c>
      <c r="M3949" s="1339"/>
      <c r="N3949" s="502"/>
      <c r="O3949" s="43"/>
      <c r="P3949" s="672"/>
      <c r="Q3949" s="671"/>
      <c r="R3949" s="673"/>
    </row>
    <row r="3950" spans="1:21" ht="30" customHeight="1" x14ac:dyDescent="0.25">
      <c r="A3950" s="51" t="s">
        <v>2521</v>
      </c>
      <c r="B3950" s="1504" t="s">
        <v>2522</v>
      </c>
      <c r="C3950" s="96"/>
      <c r="D3950" s="96"/>
      <c r="E3950" s="97">
        <v>60</v>
      </c>
      <c r="F3950" s="51" t="s">
        <v>7</v>
      </c>
      <c r="G3950" s="972">
        <v>42636.66</v>
      </c>
      <c r="H3950" s="972">
        <v>7218.04</v>
      </c>
      <c r="I3950" s="972">
        <v>0</v>
      </c>
      <c r="J3950" s="972">
        <v>31662.38</v>
      </c>
      <c r="K3950" s="972">
        <v>49854.7</v>
      </c>
      <c r="L3950" s="147" t="s">
        <v>7</v>
      </c>
      <c r="M3950" s="1339"/>
      <c r="O3950" s="43"/>
      <c r="P3950" s="672"/>
      <c r="Q3950" s="671"/>
      <c r="R3950" s="673"/>
    </row>
    <row r="3951" spans="1:21" ht="30" customHeight="1" x14ac:dyDescent="0.25">
      <c r="A3951" s="51" t="s">
        <v>2523</v>
      </c>
      <c r="B3951" s="1504" t="s">
        <v>2524</v>
      </c>
      <c r="C3951" s="96"/>
      <c r="D3951" s="96"/>
      <c r="E3951" s="97">
        <v>40</v>
      </c>
      <c r="F3951" s="51" t="s">
        <v>7</v>
      </c>
      <c r="G3951" s="972">
        <v>74801.16</v>
      </c>
      <c r="H3951" s="972">
        <v>16040.38</v>
      </c>
      <c r="I3951" s="972">
        <v>0</v>
      </c>
      <c r="J3951" s="972">
        <v>57260.47</v>
      </c>
      <c r="K3951" s="972">
        <v>90841.53</v>
      </c>
      <c r="L3951" s="147" t="s">
        <v>7</v>
      </c>
      <c r="M3951" s="1339"/>
      <c r="O3951"/>
      <c r="P3951" s="412"/>
      <c r="Q3951" s="391"/>
      <c r="R3951" s="393"/>
    </row>
    <row r="3952" spans="1:21" ht="30" customHeight="1" x14ac:dyDescent="0.25">
      <c r="A3952" s="51" t="s">
        <v>2525</v>
      </c>
      <c r="B3952" s="217" t="s">
        <v>2526</v>
      </c>
      <c r="C3952" s="218"/>
      <c r="D3952" s="219"/>
      <c r="E3952" s="97">
        <v>3</v>
      </c>
      <c r="F3952" s="51" t="s">
        <v>11</v>
      </c>
      <c r="G3952" s="972">
        <v>136886.10999999999</v>
      </c>
      <c r="H3952" s="972">
        <v>23706.21</v>
      </c>
      <c r="I3952" s="972">
        <v>2749.6</v>
      </c>
      <c r="J3952" s="972">
        <v>103728.78</v>
      </c>
      <c r="K3952" s="972">
        <v>163341.92000000001</v>
      </c>
      <c r="L3952" s="147" t="s">
        <v>11</v>
      </c>
      <c r="M3952" s="43"/>
      <c r="O3952" s="1499"/>
      <c r="P3952" s="925"/>
      <c r="Q3952" s="925"/>
      <c r="R3952" s="925"/>
      <c r="S3952" s="60"/>
      <c r="T3952" s="60"/>
      <c r="U3952" s="43"/>
    </row>
    <row r="3953" spans="1:21" ht="30" customHeight="1" x14ac:dyDescent="0.25">
      <c r="A3953" s="51" t="s">
        <v>2527</v>
      </c>
      <c r="B3953" s="1504" t="s">
        <v>2528</v>
      </c>
      <c r="C3953" s="96"/>
      <c r="D3953" s="96"/>
      <c r="E3953" s="97">
        <v>3</v>
      </c>
      <c r="F3953" s="51" t="s">
        <v>11</v>
      </c>
      <c r="G3953" s="972">
        <v>251331.88</v>
      </c>
      <c r="H3953" s="972">
        <v>12899.99</v>
      </c>
      <c r="I3953" s="972">
        <v>2397.11</v>
      </c>
      <c r="J3953" s="972">
        <v>173182.12</v>
      </c>
      <c r="K3953" s="972">
        <v>266628.98</v>
      </c>
      <c r="L3953" s="147" t="s">
        <v>11</v>
      </c>
      <c r="M3953" s="419"/>
      <c r="P3953" s="43"/>
      <c r="Q3953" s="43"/>
      <c r="R3953" s="43"/>
      <c r="S3953" s="60"/>
      <c r="T3953" s="60"/>
      <c r="U3953" s="43"/>
    </row>
    <row r="3954" spans="1:21" s="128" customFormat="1" ht="30" customHeight="1" x14ac:dyDescent="0.25">
      <c r="A3954" s="51" t="s">
        <v>2529</v>
      </c>
      <c r="B3954" s="1504" t="s">
        <v>2530</v>
      </c>
      <c r="C3954" s="96"/>
      <c r="D3954" s="96"/>
      <c r="E3954" s="97">
        <v>6</v>
      </c>
      <c r="F3954" s="51" t="s">
        <v>11</v>
      </c>
      <c r="G3954" s="972">
        <v>8078.52</v>
      </c>
      <c r="H3954" s="972">
        <v>3760.29</v>
      </c>
      <c r="I3954" s="972">
        <v>436.14</v>
      </c>
      <c r="J3954" s="972">
        <v>7498.86</v>
      </c>
      <c r="K3954" s="972">
        <v>12274.96</v>
      </c>
      <c r="L3954" s="147" t="s">
        <v>11</v>
      </c>
      <c r="M3954" s="425"/>
      <c r="N3954" s="25"/>
      <c r="O3954" s="27"/>
      <c r="P3954" s="43"/>
      <c r="Q3954" s="43"/>
      <c r="R3954" s="43"/>
      <c r="S3954" s="60"/>
      <c r="T3954" s="60"/>
      <c r="U3954" s="925"/>
    </row>
    <row r="3955" spans="1:21" s="49" customFormat="1" ht="30" customHeight="1" x14ac:dyDescent="0.25">
      <c r="A3955" s="51" t="s">
        <v>2531</v>
      </c>
      <c r="B3955" s="1504" t="s">
        <v>2532</v>
      </c>
      <c r="C3955" s="96"/>
      <c r="D3955" s="96"/>
      <c r="E3955" s="97">
        <v>12</v>
      </c>
      <c r="F3955" s="51" t="s">
        <v>11</v>
      </c>
      <c r="G3955" s="972">
        <v>6157.63</v>
      </c>
      <c r="H3955" s="972">
        <v>4511.3500000000004</v>
      </c>
      <c r="I3955" s="972">
        <v>0</v>
      </c>
      <c r="J3955" s="972">
        <v>6331.68</v>
      </c>
      <c r="K3955" s="972">
        <v>10668.99</v>
      </c>
      <c r="L3955" s="147" t="s">
        <v>11</v>
      </c>
      <c r="M3955" s="419"/>
      <c r="N3955" s="420"/>
      <c r="O3955" s="27"/>
      <c r="U3955" s="50"/>
    </row>
    <row r="3956" spans="1:21" ht="30" customHeight="1" x14ac:dyDescent="0.25">
      <c r="A3956" s="51" t="s">
        <v>2533</v>
      </c>
      <c r="B3956" s="1504" t="s">
        <v>2534</v>
      </c>
      <c r="C3956" s="96"/>
      <c r="D3956" s="96"/>
      <c r="E3956" s="97">
        <v>1500</v>
      </c>
      <c r="F3956" s="51" t="s">
        <v>7</v>
      </c>
      <c r="G3956" s="972">
        <v>5363.24</v>
      </c>
      <c r="H3956" s="972">
        <v>2406.19</v>
      </c>
      <c r="I3956" s="972">
        <v>0</v>
      </c>
      <c r="J3956" s="972">
        <v>4742.5</v>
      </c>
      <c r="K3956" s="972">
        <v>7769.43</v>
      </c>
      <c r="L3956" s="147" t="s">
        <v>7</v>
      </c>
      <c r="M3956" s="670"/>
      <c r="N3956" s="420"/>
      <c r="O3956" s="42"/>
      <c r="P3956" s="41"/>
      <c r="Q3956" s="41"/>
      <c r="R3956" s="41"/>
      <c r="S3956" s="41"/>
      <c r="T3956" s="41"/>
      <c r="U3956" s="43"/>
    </row>
    <row r="3957" spans="1:21" s="41" customFormat="1" ht="30" customHeight="1" x14ac:dyDescent="0.25">
      <c r="A3957" s="1226" t="s">
        <v>2535</v>
      </c>
      <c r="B3957" s="1227"/>
      <c r="C3957" s="1227"/>
      <c r="D3957" s="1228"/>
      <c r="E3957" s="63"/>
      <c r="F3957" s="63"/>
      <c r="G3957" s="63"/>
      <c r="H3957" s="63"/>
      <c r="I3957" s="63"/>
      <c r="J3957" s="63">
        <v>595103.94000000006</v>
      </c>
      <c r="K3957" s="267">
        <v>935804.47041588125</v>
      </c>
      <c r="L3957" s="147" t="s">
        <v>335</v>
      </c>
      <c r="M3957" s="670"/>
      <c r="N3957" s="420"/>
      <c r="O3957" s="42"/>
    </row>
    <row r="3958" spans="1:21" s="41" customFormat="1" ht="30" customHeight="1" x14ac:dyDescent="0.25">
      <c r="A3958" s="1237"/>
      <c r="B3958" s="1238"/>
      <c r="C3958" s="1238"/>
      <c r="D3958" s="1239"/>
      <c r="E3958" s="63"/>
      <c r="F3958" s="63"/>
      <c r="G3958" s="63"/>
      <c r="H3958" s="63"/>
      <c r="I3958" s="63"/>
      <c r="J3958" s="159" t="s">
        <v>358</v>
      </c>
      <c r="K3958" s="21">
        <f>+K3957/H3938</f>
        <v>209.96286076192087</v>
      </c>
      <c r="L3958" s="61" t="s">
        <v>221</v>
      </c>
      <c r="M3958" s="419"/>
      <c r="N3958" s="671"/>
      <c r="O3958" s="27"/>
      <c r="P3958"/>
      <c r="Q3958"/>
      <c r="R3958"/>
      <c r="S3958"/>
      <c r="T3958"/>
    </row>
    <row r="3959" spans="1:21" s="41" customFormat="1" ht="30" customHeight="1" x14ac:dyDescent="0.25">
      <c r="A3959" s="1237"/>
      <c r="B3959" s="1238"/>
      <c r="C3959" s="1238"/>
      <c r="D3959" s="1239"/>
      <c r="E3959" s="63"/>
      <c r="F3959" s="63"/>
      <c r="G3959" s="63"/>
      <c r="H3959" s="63"/>
      <c r="I3959" s="63"/>
      <c r="J3959" s="159"/>
      <c r="K3959" s="117"/>
      <c r="L3959" s="48"/>
      <c r="M3959" s="419"/>
      <c r="N3959" s="671"/>
      <c r="O3959" s="27"/>
      <c r="P3959"/>
      <c r="Q3959"/>
      <c r="R3959"/>
      <c r="S3959"/>
      <c r="T3959"/>
    </row>
    <row r="3960" spans="1:21" s="41" customFormat="1" ht="30" customHeight="1" thickBot="1" x14ac:dyDescent="0.3">
      <c r="A3960" s="1231"/>
      <c r="B3960" s="1232"/>
      <c r="C3960" s="1232"/>
      <c r="D3960" s="1233"/>
      <c r="E3960" s="63"/>
      <c r="F3960" s="63"/>
      <c r="G3960" s="63"/>
      <c r="H3960" s="63"/>
      <c r="I3960" s="63"/>
      <c r="J3960" s="64"/>
      <c r="K3960" s="64"/>
      <c r="L3960" s="64"/>
      <c r="M3960" s="419"/>
      <c r="N3960" s="420"/>
      <c r="O3960" s="27"/>
      <c r="P3960"/>
      <c r="Q3960"/>
      <c r="R3960"/>
      <c r="S3960"/>
      <c r="T3960"/>
    </row>
    <row r="3961" spans="1:21" ht="30" customHeight="1" thickBot="1" x14ac:dyDescent="0.3">
      <c r="A3961" s="76"/>
      <c r="B3961" s="77"/>
      <c r="C3961" s="77"/>
      <c r="D3961" s="77"/>
      <c r="E3961" s="77"/>
      <c r="F3961" s="77"/>
      <c r="G3961" s="77"/>
      <c r="H3961" s="77"/>
      <c r="I3961" s="77"/>
      <c r="J3961" s="77"/>
      <c r="K3961" s="77"/>
      <c r="L3961" s="78"/>
      <c r="N3961" s="420"/>
      <c r="P3961" s="43"/>
      <c r="Q3961" s="43"/>
      <c r="R3961" s="43"/>
      <c r="S3961" s="60"/>
      <c r="T3961" s="60"/>
    </row>
    <row r="3962" spans="1:21" ht="30" customHeight="1" x14ac:dyDescent="0.25">
      <c r="A3962" s="30" t="s">
        <v>288</v>
      </c>
      <c r="B3962" s="31">
        <v>8132</v>
      </c>
      <c r="C3962" s="161" t="s">
        <v>2536</v>
      </c>
      <c r="D3962" s="162"/>
      <c r="E3962" s="36" t="s">
        <v>291</v>
      </c>
      <c r="F3962" s="37" t="s">
        <v>221</v>
      </c>
      <c r="G3962" s="123" t="s">
        <v>375</v>
      </c>
      <c r="H3962" s="179">
        <v>10456</v>
      </c>
      <c r="I3962" s="177" t="s">
        <v>292</v>
      </c>
      <c r="J3962" s="38" t="s">
        <v>2499</v>
      </c>
      <c r="K3962" s="39"/>
      <c r="L3962" s="40"/>
      <c r="M3962" s="1330"/>
      <c r="N3962" s="420"/>
      <c r="P3962" s="43"/>
      <c r="Q3962" s="43"/>
      <c r="R3962" s="43"/>
      <c r="S3962" s="60"/>
      <c r="T3962" s="60"/>
    </row>
    <row r="3963" spans="1:21" ht="30" customHeight="1" x14ac:dyDescent="0.25">
      <c r="A3963" s="44" t="s">
        <v>294</v>
      </c>
      <c r="B3963" s="45" t="s">
        <v>295</v>
      </c>
      <c r="C3963" s="45"/>
      <c r="D3963" s="45"/>
      <c r="E3963" s="44" t="s">
        <v>296</v>
      </c>
      <c r="F3963" s="44" t="s">
        <v>2</v>
      </c>
      <c r="G3963" s="44" t="s">
        <v>297</v>
      </c>
      <c r="H3963" s="44" t="s">
        <v>298</v>
      </c>
      <c r="I3963" s="44" t="s">
        <v>299</v>
      </c>
      <c r="J3963" s="48" t="s">
        <v>300</v>
      </c>
      <c r="K3963" s="48" t="s">
        <v>301</v>
      </c>
      <c r="L3963" s="48"/>
      <c r="M3963" s="1330"/>
      <c r="N3963" s="556"/>
      <c r="P3963" s="43"/>
      <c r="Q3963" s="43"/>
      <c r="R3963" s="43"/>
      <c r="S3963" s="60"/>
      <c r="T3963" s="60"/>
      <c r="U3963" s="43"/>
    </row>
    <row r="3964" spans="1:21" ht="30" customHeight="1" x14ac:dyDescent="0.25">
      <c r="A3964" s="51" t="s">
        <v>2500</v>
      </c>
      <c r="B3964" s="1504" t="s">
        <v>2501</v>
      </c>
      <c r="C3964" s="96"/>
      <c r="D3964" s="96"/>
      <c r="E3964" s="97">
        <v>1200</v>
      </c>
      <c r="F3964" s="51" t="s">
        <v>9</v>
      </c>
      <c r="G3964" s="972">
        <v>9045.2999999999993</v>
      </c>
      <c r="H3964" s="972">
        <v>8505.66</v>
      </c>
      <c r="I3964" s="972">
        <v>315.76</v>
      </c>
      <c r="J3964" s="972">
        <v>10362.9</v>
      </c>
      <c r="K3964" s="972">
        <v>17866.73</v>
      </c>
      <c r="L3964" s="51" t="s">
        <v>9</v>
      </c>
      <c r="N3964" s="502"/>
      <c r="P3964" s="43"/>
      <c r="Q3964" s="43"/>
      <c r="R3964" s="43"/>
      <c r="S3964" s="60"/>
      <c r="T3964" s="60"/>
      <c r="U3964" s="43"/>
    </row>
    <row r="3965" spans="1:21" ht="30" customHeight="1" x14ac:dyDescent="0.25">
      <c r="A3965" s="51" t="s">
        <v>2504</v>
      </c>
      <c r="B3965" s="1504" t="s">
        <v>2537</v>
      </c>
      <c r="C3965" s="96"/>
      <c r="D3965" s="96"/>
      <c r="E3965" s="97">
        <v>3</v>
      </c>
      <c r="F3965" s="51" t="s">
        <v>11</v>
      </c>
      <c r="G3965" s="972">
        <v>16337.11</v>
      </c>
      <c r="H3965" s="972">
        <v>7787.41</v>
      </c>
      <c r="I3965" s="972">
        <v>0</v>
      </c>
      <c r="J3965" s="972">
        <v>14540.81</v>
      </c>
      <c r="K3965" s="972">
        <v>24124.52</v>
      </c>
      <c r="L3965" s="51" t="s">
        <v>11</v>
      </c>
      <c r="O3965" s="213"/>
      <c r="P3965" s="43"/>
      <c r="Q3965" s="43"/>
      <c r="R3965" s="60"/>
      <c r="S3965" s="60"/>
      <c r="T3965" s="43"/>
    </row>
    <row r="3966" spans="1:21" s="49" customFormat="1" ht="30" customHeight="1" x14ac:dyDescent="0.25">
      <c r="A3966" s="51" t="s">
        <v>2506</v>
      </c>
      <c r="B3966" s="1504" t="s">
        <v>2507</v>
      </c>
      <c r="C3966" s="96"/>
      <c r="D3966" s="96"/>
      <c r="E3966" s="97">
        <v>6</v>
      </c>
      <c r="F3966" s="51" t="s">
        <v>11</v>
      </c>
      <c r="G3966" s="972">
        <v>6523.97</v>
      </c>
      <c r="H3966" s="972">
        <v>2300.9899999999998</v>
      </c>
      <c r="I3966" s="972">
        <v>0</v>
      </c>
      <c r="J3966" s="972">
        <v>5400.38</v>
      </c>
      <c r="K3966" s="972">
        <v>8824.9599999999991</v>
      </c>
      <c r="L3966" s="51" t="s">
        <v>11</v>
      </c>
      <c r="M3966" s="341"/>
      <c r="N3966" s="342"/>
      <c r="O3966" s="213"/>
      <c r="P3966" s="50"/>
      <c r="Q3966" s="50"/>
      <c r="R3966" s="212"/>
      <c r="S3966" s="212"/>
      <c r="T3966" s="50"/>
    </row>
    <row r="3967" spans="1:21" ht="30" customHeight="1" x14ac:dyDescent="0.25">
      <c r="A3967" s="51" t="s">
        <v>2512</v>
      </c>
      <c r="B3967" s="1504" t="s">
        <v>2513</v>
      </c>
      <c r="C3967" s="96"/>
      <c r="D3967" s="96"/>
      <c r="E3967" s="97">
        <v>6</v>
      </c>
      <c r="F3967" s="51" t="s">
        <v>11</v>
      </c>
      <c r="G3967" s="972">
        <v>1693.61</v>
      </c>
      <c r="H3967" s="972">
        <v>2299.5300000000002</v>
      </c>
      <c r="I3967" s="972">
        <v>0</v>
      </c>
      <c r="J3967" s="972">
        <v>2256.96</v>
      </c>
      <c r="K3967" s="972">
        <v>3993.13</v>
      </c>
      <c r="L3967" s="51" t="s">
        <v>11</v>
      </c>
      <c r="M3967" s="341"/>
      <c r="N3967" s="342"/>
      <c r="O3967" s="213"/>
      <c r="P3967" s="43"/>
      <c r="Q3967" s="43"/>
      <c r="R3967" s="60"/>
      <c r="S3967" s="60"/>
      <c r="T3967" s="43"/>
    </row>
    <row r="3968" spans="1:21" ht="30" customHeight="1" x14ac:dyDescent="0.25">
      <c r="A3968" s="51" t="s">
        <v>2514</v>
      </c>
      <c r="B3968" s="1504" t="s">
        <v>2515</v>
      </c>
      <c r="C3968" s="96"/>
      <c r="D3968" s="96"/>
      <c r="E3968" s="97">
        <v>1</v>
      </c>
      <c r="F3968" s="51" t="s">
        <v>2516</v>
      </c>
      <c r="G3968" s="972">
        <v>194.61</v>
      </c>
      <c r="H3968" s="972">
        <v>34.4</v>
      </c>
      <c r="I3968" s="972">
        <v>0</v>
      </c>
      <c r="J3968" s="972">
        <v>755.63</v>
      </c>
      <c r="K3968" s="972">
        <v>978</v>
      </c>
      <c r="L3968" s="51" t="s">
        <v>11</v>
      </c>
      <c r="M3968" s="341"/>
      <c r="N3968" s="342"/>
      <c r="O3968" s="213"/>
      <c r="P3968" s="43"/>
      <c r="Q3968" s="43"/>
      <c r="R3968" s="60"/>
      <c r="S3968" s="60"/>
      <c r="T3968" s="43"/>
    </row>
    <row r="3969" spans="1:21" ht="30" customHeight="1" x14ac:dyDescent="0.25">
      <c r="A3969" s="51" t="s">
        <v>2517</v>
      </c>
      <c r="B3969" s="1504" t="s">
        <v>2518</v>
      </c>
      <c r="C3969" s="96"/>
      <c r="D3969" s="96"/>
      <c r="E3969" s="97">
        <v>3</v>
      </c>
      <c r="F3969" s="51" t="s">
        <v>11</v>
      </c>
      <c r="G3969" s="972">
        <v>15177.29</v>
      </c>
      <c r="H3969" s="972">
        <v>1498.32</v>
      </c>
      <c r="I3969" s="972">
        <v>0</v>
      </c>
      <c r="J3969" s="972">
        <v>10627.14</v>
      </c>
      <c r="K3969" s="972">
        <v>16675.61</v>
      </c>
      <c r="L3969" s="51" t="s">
        <v>11</v>
      </c>
      <c r="M3969" s="341"/>
      <c r="O3969" s="213"/>
      <c r="P3969" s="43"/>
      <c r="Q3969" s="43"/>
      <c r="R3969" s="60"/>
      <c r="S3969" s="60"/>
      <c r="T3969" s="43"/>
    </row>
    <row r="3970" spans="1:21" ht="30" customHeight="1" x14ac:dyDescent="0.25">
      <c r="A3970" s="51" t="s">
        <v>2519</v>
      </c>
      <c r="B3970" s="1506" t="s">
        <v>2520</v>
      </c>
      <c r="C3970" s="1507"/>
      <c r="D3970" s="1508"/>
      <c r="E3970" s="97">
        <v>60</v>
      </c>
      <c r="F3970" s="51" t="s">
        <v>7</v>
      </c>
      <c r="G3970" s="972">
        <v>41227.870000000003</v>
      </c>
      <c r="H3970" s="972">
        <v>7286.47</v>
      </c>
      <c r="I3970" s="972">
        <v>0</v>
      </c>
      <c r="J3970" s="972">
        <v>30483.4</v>
      </c>
      <c r="K3970" s="972">
        <v>48514.35</v>
      </c>
      <c r="L3970" s="51" t="s">
        <v>11</v>
      </c>
      <c r="O3970" s="213"/>
      <c r="P3970" s="43"/>
      <c r="Q3970" s="43"/>
      <c r="R3970" s="60"/>
      <c r="S3970" s="60"/>
      <c r="T3970" s="43"/>
    </row>
    <row r="3971" spans="1:21" ht="30" customHeight="1" x14ac:dyDescent="0.25">
      <c r="A3971" s="51" t="s">
        <v>2527</v>
      </c>
      <c r="B3971" s="1504" t="s">
        <v>2528</v>
      </c>
      <c r="C3971" s="96"/>
      <c r="D3971" s="96"/>
      <c r="E3971" s="97">
        <v>3</v>
      </c>
      <c r="F3971" s="51" t="s">
        <v>11</v>
      </c>
      <c r="G3971" s="972">
        <v>253709.99</v>
      </c>
      <c r="H3971" s="972">
        <v>13022.05</v>
      </c>
      <c r="I3971" s="972">
        <v>2419.79</v>
      </c>
      <c r="J3971" s="972">
        <v>173182.12</v>
      </c>
      <c r="K3971" s="972">
        <v>269151.83</v>
      </c>
      <c r="L3971" s="51" t="s">
        <v>2516</v>
      </c>
      <c r="M3971" s="43"/>
      <c r="O3971" s="213"/>
      <c r="P3971" s="43"/>
      <c r="Q3971" s="43"/>
      <c r="R3971" s="60"/>
      <c r="S3971" s="60"/>
      <c r="T3971" s="43"/>
    </row>
    <row r="3972" spans="1:21" ht="30" customHeight="1" x14ac:dyDescent="0.25">
      <c r="A3972" s="51" t="s">
        <v>2529</v>
      </c>
      <c r="B3972" s="1504" t="s">
        <v>2530</v>
      </c>
      <c r="C3972" s="96"/>
      <c r="D3972" s="96"/>
      <c r="E3972" s="97">
        <v>6</v>
      </c>
      <c r="F3972" s="51" t="s">
        <v>11</v>
      </c>
      <c r="G3972" s="972">
        <v>8154.96</v>
      </c>
      <c r="H3972" s="972">
        <v>3795.87</v>
      </c>
      <c r="I3972" s="972">
        <v>440.26</v>
      </c>
      <c r="J3972" s="972">
        <v>7498.86</v>
      </c>
      <c r="K3972" s="972">
        <v>12391.1</v>
      </c>
      <c r="L3972" s="51" t="s">
        <v>11</v>
      </c>
      <c r="O3972" s="213"/>
      <c r="P3972" s="43"/>
      <c r="Q3972" s="43"/>
      <c r="R3972" s="60"/>
      <c r="S3972" s="60"/>
      <c r="T3972" s="43"/>
    </row>
    <row r="3973" spans="1:21" ht="30" customHeight="1" x14ac:dyDescent="0.25">
      <c r="A3973" s="51" t="s">
        <v>2531</v>
      </c>
      <c r="B3973" s="1509" t="s">
        <v>2532</v>
      </c>
      <c r="C3973" s="1510"/>
      <c r="D3973" s="1511"/>
      <c r="E3973" s="97">
        <v>12</v>
      </c>
      <c r="F3973" s="51" t="s">
        <v>11</v>
      </c>
      <c r="G3973" s="972">
        <v>6215.89</v>
      </c>
      <c r="H3973" s="972">
        <v>4554.04</v>
      </c>
      <c r="I3973" s="972">
        <v>0</v>
      </c>
      <c r="J3973" s="972">
        <v>6331.68</v>
      </c>
      <c r="K3973" s="972">
        <v>10769.94</v>
      </c>
      <c r="L3973" s="51" t="s">
        <v>7</v>
      </c>
      <c r="M3973" s="502"/>
      <c r="O3973" s="213"/>
      <c r="P3973" s="43"/>
      <c r="Q3973" s="43"/>
      <c r="R3973" s="60"/>
      <c r="S3973" s="60"/>
      <c r="T3973" s="43"/>
    </row>
    <row r="3974" spans="1:21" ht="30" customHeight="1" x14ac:dyDescent="0.25">
      <c r="A3974" s="51" t="s">
        <v>2533</v>
      </c>
      <c r="B3974" s="217" t="s">
        <v>2534</v>
      </c>
      <c r="C3974" s="218"/>
      <c r="D3974" s="219"/>
      <c r="E3974" s="97">
        <v>2500</v>
      </c>
      <c r="F3974" s="51" t="s">
        <v>7</v>
      </c>
      <c r="G3974" s="972">
        <v>9023.32</v>
      </c>
      <c r="H3974" s="972">
        <v>4048.26</v>
      </c>
      <c r="I3974" s="972">
        <v>0</v>
      </c>
      <c r="J3974" s="972">
        <v>7904.16</v>
      </c>
      <c r="K3974" s="972">
        <v>13071.58</v>
      </c>
      <c r="L3974" s="51" t="s">
        <v>7</v>
      </c>
      <c r="O3974" s="213"/>
      <c r="P3974" s="43"/>
      <c r="Q3974" s="43"/>
      <c r="R3974" s="60"/>
      <c r="S3974" s="60"/>
      <c r="T3974" s="43"/>
    </row>
    <row r="3975" spans="1:21" ht="30" customHeight="1" x14ac:dyDescent="0.25">
      <c r="A3975" s="1226" t="s">
        <v>2538</v>
      </c>
      <c r="B3975" s="1227"/>
      <c r="C3975" s="1227"/>
      <c r="D3975" s="1228"/>
      <c r="E3975" s="63"/>
      <c r="F3975" s="63"/>
      <c r="G3975" s="18"/>
      <c r="H3975" s="18"/>
      <c r="I3975" s="18"/>
      <c r="J3975" s="18">
        <v>269344.03999999998</v>
      </c>
      <c r="K3975" s="267">
        <v>426361.74481065222</v>
      </c>
      <c r="L3975" s="147" t="s">
        <v>2539</v>
      </c>
      <c r="N3975" s="502"/>
      <c r="O3975" s="213"/>
      <c r="P3975" s="43"/>
      <c r="Q3975" s="43"/>
      <c r="R3975" s="60"/>
      <c r="S3975" s="60"/>
      <c r="T3975" s="43"/>
    </row>
    <row r="3976" spans="1:21" ht="30" customHeight="1" x14ac:dyDescent="0.25">
      <c r="A3976" s="1237"/>
      <c r="B3976" s="1238"/>
      <c r="C3976" s="1238"/>
      <c r="D3976" s="1239"/>
      <c r="E3976" s="63"/>
      <c r="F3976" s="63"/>
      <c r="G3976" s="63"/>
      <c r="H3976" s="63"/>
      <c r="I3976" s="63"/>
      <c r="J3976" s="159" t="s">
        <v>358</v>
      </c>
      <c r="K3976" s="21">
        <f>+K3975/H3962</f>
        <v>40.776754476917773</v>
      </c>
      <c r="L3976" s="61" t="s">
        <v>221</v>
      </c>
      <c r="M3976" s="654"/>
      <c r="O3976" s="213"/>
      <c r="P3976" s="43"/>
      <c r="Q3976" s="43"/>
      <c r="R3976" s="60"/>
      <c r="S3976" s="60"/>
      <c r="T3976" s="43"/>
    </row>
    <row r="3977" spans="1:21" ht="30" customHeight="1" x14ac:dyDescent="0.25">
      <c r="A3977" s="1237"/>
      <c r="B3977" s="1238"/>
      <c r="C3977" s="1238"/>
      <c r="D3977" s="1239"/>
      <c r="E3977" s="63"/>
      <c r="F3977" s="63"/>
      <c r="G3977" s="63"/>
      <c r="H3977" s="63"/>
      <c r="I3977" s="63"/>
      <c r="J3977" s="159"/>
      <c r="K3977" s="117"/>
      <c r="L3977" s="48"/>
      <c r="O3977" s="213"/>
      <c r="P3977" s="43"/>
      <c r="Q3977" s="43"/>
      <c r="R3977" s="60"/>
      <c r="S3977" s="60"/>
      <c r="T3977" s="43"/>
    </row>
    <row r="3978" spans="1:21" ht="30" customHeight="1" thickBot="1" x14ac:dyDescent="0.3">
      <c r="A3978" s="1231"/>
      <c r="B3978" s="1232"/>
      <c r="C3978" s="1232"/>
      <c r="D3978" s="1233"/>
      <c r="E3978" s="63"/>
      <c r="F3978" s="63"/>
      <c r="G3978" s="63"/>
      <c r="H3978" s="63"/>
      <c r="I3978" s="63"/>
      <c r="J3978" s="64"/>
      <c r="K3978" s="64"/>
      <c r="L3978" s="64"/>
      <c r="O3978" s="213"/>
      <c r="P3978" s="43"/>
      <c r="Q3978" s="43"/>
      <c r="R3978" s="60"/>
      <c r="S3978" s="60"/>
      <c r="T3978" s="43"/>
    </row>
    <row r="3979" spans="1:21" ht="30" customHeight="1" thickBot="1" x14ac:dyDescent="0.3">
      <c r="A3979" s="76"/>
      <c r="B3979" s="77"/>
      <c r="C3979" s="77"/>
      <c r="D3979" s="77"/>
      <c r="E3979" s="77"/>
      <c r="F3979" s="77"/>
      <c r="G3979" s="77"/>
      <c r="H3979" s="77"/>
      <c r="I3979" s="77"/>
      <c r="J3979" s="77"/>
      <c r="K3979" s="77"/>
      <c r="L3979" s="78"/>
      <c r="O3979" s="213"/>
      <c r="P3979" s="43"/>
      <c r="Q3979" s="43"/>
      <c r="R3979" s="60"/>
      <c r="S3979" s="60"/>
      <c r="T3979" s="43"/>
    </row>
    <row r="3980" spans="1:21" ht="30" customHeight="1" x14ac:dyDescent="0.25">
      <c r="A3980" s="207" t="s">
        <v>288</v>
      </c>
      <c r="B3980" s="208">
        <v>8133</v>
      </c>
      <c r="C3980" s="282" t="s">
        <v>2540</v>
      </c>
      <c r="D3980" s="283"/>
      <c r="E3980" s="177" t="s">
        <v>291</v>
      </c>
      <c r="F3980" s="178" t="s">
        <v>221</v>
      </c>
      <c r="G3980" s="123" t="s">
        <v>375</v>
      </c>
      <c r="H3980" s="302">
        <v>1738</v>
      </c>
      <c r="I3980" s="177" t="s">
        <v>292</v>
      </c>
      <c r="J3980" s="38" t="s">
        <v>2541</v>
      </c>
      <c r="K3980" s="38"/>
      <c r="L3980" s="389"/>
      <c r="O3980" s="213"/>
      <c r="P3980" s="43"/>
      <c r="Q3980" s="43"/>
      <c r="R3980" s="60"/>
      <c r="S3980" s="60"/>
      <c r="T3980" s="43"/>
    </row>
    <row r="3981" spans="1:21" ht="30" customHeight="1" x14ac:dyDescent="0.25">
      <c r="A3981" s="181" t="s">
        <v>517</v>
      </c>
      <c r="B3981" s="180" t="s">
        <v>295</v>
      </c>
      <c r="C3981" s="180"/>
      <c r="D3981" s="180"/>
      <c r="E3981" s="285" t="s">
        <v>2458</v>
      </c>
      <c r="F3981" s="181" t="s">
        <v>518</v>
      </c>
      <c r="G3981" s="665" t="s">
        <v>562</v>
      </c>
      <c r="H3981" s="666"/>
      <c r="I3981" s="286" t="s">
        <v>520</v>
      </c>
      <c r="J3981" s="287"/>
      <c r="K3981" s="493" t="s">
        <v>521</v>
      </c>
      <c r="L3981" s="494"/>
      <c r="O3981" s="213"/>
      <c r="P3981" s="43"/>
      <c r="Q3981" s="43"/>
      <c r="R3981" s="60"/>
      <c r="S3981" s="60"/>
      <c r="T3981" s="43"/>
    </row>
    <row r="3982" spans="1:21" ht="30" customHeight="1" x14ac:dyDescent="0.25">
      <c r="A3982" s="20">
        <v>81360</v>
      </c>
      <c r="B3982" s="402" t="s">
        <v>2542</v>
      </c>
      <c r="C3982" s="403"/>
      <c r="D3982" s="404"/>
      <c r="E3982" s="405">
        <v>26920</v>
      </c>
      <c r="F3982" s="729">
        <v>500</v>
      </c>
      <c r="G3982" s="730">
        <v>500</v>
      </c>
      <c r="H3982" s="649" t="s">
        <v>2543</v>
      </c>
      <c r="I3982" s="1109">
        <f>+'MILCON Inflation Table'!$F$17</f>
        <v>0.9432470865927236</v>
      </c>
      <c r="J3982" s="1110"/>
      <c r="K3982" s="304">
        <f>+E3982/G3982*I3982</f>
        <v>50.784423142152242</v>
      </c>
      <c r="L3982" s="290" t="s">
        <v>221</v>
      </c>
      <c r="P3982" s="43"/>
      <c r="Q3982" s="43"/>
      <c r="R3982" s="43"/>
      <c r="S3982" s="60"/>
      <c r="T3982" s="60"/>
      <c r="U3982" s="43"/>
    </row>
    <row r="3983" spans="1:21" ht="30" customHeight="1" x14ac:dyDescent="0.25">
      <c r="A3983" s="20">
        <v>81360</v>
      </c>
      <c r="B3983" s="402" t="s">
        <v>2544</v>
      </c>
      <c r="C3983" s="403"/>
      <c r="D3983" s="404"/>
      <c r="E3983" s="405">
        <v>48870</v>
      </c>
      <c r="F3983" s="729">
        <v>1000</v>
      </c>
      <c r="G3983" s="730">
        <v>1000</v>
      </c>
      <c r="H3983" s="649" t="s">
        <v>2543</v>
      </c>
      <c r="I3983" s="1109">
        <f>+'MILCON Inflation Table'!$F$17</f>
        <v>0.9432470865927236</v>
      </c>
      <c r="J3983" s="1110"/>
      <c r="K3983" s="304">
        <f>+E3983/G3983*I3983</f>
        <v>46.096485121786401</v>
      </c>
      <c r="L3983" s="290" t="s">
        <v>221</v>
      </c>
      <c r="P3983" s="43"/>
      <c r="Q3983" s="43"/>
      <c r="R3983" s="43"/>
      <c r="S3983" s="60"/>
      <c r="T3983" s="60"/>
      <c r="U3983" s="43"/>
    </row>
    <row r="3984" spans="1:21" ht="30" customHeight="1" x14ac:dyDescent="0.25">
      <c r="A3984" s="20">
        <v>81360</v>
      </c>
      <c r="B3984" s="402" t="s">
        <v>2545</v>
      </c>
      <c r="C3984" s="403"/>
      <c r="D3984" s="404"/>
      <c r="E3984" s="405">
        <v>68650</v>
      </c>
      <c r="F3984" s="763">
        <v>2000</v>
      </c>
      <c r="G3984" s="730">
        <v>2000</v>
      </c>
      <c r="H3984" s="649" t="s">
        <v>2543</v>
      </c>
      <c r="I3984" s="1109">
        <f>+'MILCON Inflation Table'!$F$17</f>
        <v>0.9432470865927236</v>
      </c>
      <c r="J3984" s="1110"/>
      <c r="K3984" s="304">
        <f>+E3984/G3984*I3984</f>
        <v>32.37695624729524</v>
      </c>
      <c r="L3984" s="290" t="s">
        <v>221</v>
      </c>
      <c r="M3984" s="986"/>
      <c r="P3984" s="43"/>
      <c r="Q3984" s="43"/>
      <c r="R3984" s="43"/>
      <c r="S3984" s="60"/>
      <c r="T3984" s="60"/>
      <c r="U3984" s="43"/>
    </row>
    <row r="3985" spans="1:21" ht="30" customHeight="1" x14ac:dyDescent="0.25">
      <c r="A3985" s="20"/>
      <c r="B3985" s="503"/>
      <c r="C3985" s="504"/>
      <c r="D3985" s="505"/>
      <c r="E3985" s="405"/>
      <c r="F3985" s="763"/>
      <c r="G3985" s="730"/>
      <c r="H3985" s="649"/>
      <c r="I3985" s="18"/>
      <c r="J3985" s="481" t="s">
        <v>536</v>
      </c>
      <c r="K3985" s="304">
        <f>AVERAGE(K3982:K3984)</f>
        <v>43.085954837077963</v>
      </c>
      <c r="L3985" s="290" t="s">
        <v>221</v>
      </c>
      <c r="M3985" s="986"/>
      <c r="P3985" s="43"/>
      <c r="Q3985" s="43"/>
      <c r="R3985" s="43"/>
      <c r="S3985" s="60"/>
      <c r="T3985" s="60"/>
      <c r="U3985" s="43"/>
    </row>
    <row r="3986" spans="1:21" ht="30" customHeight="1" thickBot="1" x14ac:dyDescent="0.3">
      <c r="A3986" s="20"/>
      <c r="B3986" s="503"/>
      <c r="C3986" s="504"/>
      <c r="D3986" s="505"/>
      <c r="E3986" s="405"/>
      <c r="F3986" s="763"/>
      <c r="G3986" s="730"/>
      <c r="H3986" s="649"/>
      <c r="I3986" s="18"/>
      <c r="J3986" s="1571" t="s">
        <v>358</v>
      </c>
      <c r="K3986" s="304">
        <f>+K3985</f>
        <v>43.085954837077963</v>
      </c>
      <c r="L3986" s="290" t="s">
        <v>221</v>
      </c>
      <c r="N3986" s="1512"/>
      <c r="P3986" s="43"/>
      <c r="Q3986" s="43"/>
      <c r="R3986" s="43"/>
      <c r="S3986" s="60"/>
      <c r="T3986" s="60"/>
      <c r="U3986" s="43"/>
    </row>
    <row r="3987" spans="1:21" ht="30" customHeight="1" thickBot="1" x14ac:dyDescent="0.3">
      <c r="A3987" s="76"/>
      <c r="B3987" s="77"/>
      <c r="C3987" s="77"/>
      <c r="D3987" s="77"/>
      <c r="E3987" s="77"/>
      <c r="F3987" s="77"/>
      <c r="G3987" s="77"/>
      <c r="H3987" s="77"/>
      <c r="I3987" s="77"/>
      <c r="J3987" s="77"/>
      <c r="K3987" s="77"/>
      <c r="L3987" s="78"/>
      <c r="P3987" s="43"/>
      <c r="Q3987" s="43"/>
      <c r="R3987" s="43"/>
      <c r="S3987" s="60"/>
      <c r="T3987" s="60"/>
      <c r="U3987" s="43"/>
    </row>
    <row r="3988" spans="1:21" ht="30" customHeight="1" x14ac:dyDescent="0.25">
      <c r="A3988" s="207" t="s">
        <v>288</v>
      </c>
      <c r="B3988" s="208">
        <v>8134</v>
      </c>
      <c r="C3988" s="209" t="s">
        <v>2546</v>
      </c>
      <c r="D3988" s="210"/>
      <c r="E3988" s="177" t="s">
        <v>291</v>
      </c>
      <c r="F3988" s="178" t="s">
        <v>11</v>
      </c>
      <c r="G3988" s="123" t="s">
        <v>375</v>
      </c>
      <c r="H3988" s="791">
        <v>77</v>
      </c>
      <c r="I3988" s="177" t="s">
        <v>292</v>
      </c>
      <c r="J3988" s="38" t="s">
        <v>883</v>
      </c>
      <c r="K3988" s="38"/>
      <c r="L3988" s="389"/>
      <c r="M3988" s="1881"/>
      <c r="P3988" s="43"/>
      <c r="Q3988" s="43"/>
      <c r="R3988" s="43"/>
      <c r="S3988" s="60"/>
      <c r="T3988" s="60"/>
      <c r="U3988" s="43"/>
    </row>
    <row r="3989" spans="1:21" ht="30" customHeight="1" x14ac:dyDescent="0.25">
      <c r="A3989" s="185" t="s">
        <v>529</v>
      </c>
      <c r="B3989" s="394" t="s">
        <v>560</v>
      </c>
      <c r="C3989" s="395"/>
      <c r="D3989" s="396"/>
      <c r="E3989" s="397" t="s">
        <v>519</v>
      </c>
      <c r="F3989" s="397" t="s">
        <v>561</v>
      </c>
      <c r="G3989" s="398" t="s">
        <v>562</v>
      </c>
      <c r="H3989" s="399"/>
      <c r="I3989" s="181" t="s">
        <v>530</v>
      </c>
      <c r="J3989" s="181"/>
      <c r="K3989" s="493" t="s">
        <v>521</v>
      </c>
      <c r="L3989" s="494"/>
      <c r="M3989" s="1881"/>
      <c r="O3989" s="213"/>
      <c r="P3989" s="43"/>
      <c r="Q3989" s="43"/>
      <c r="R3989" s="60"/>
      <c r="S3989" s="60"/>
      <c r="T3989" s="43"/>
    </row>
    <row r="3990" spans="1:21" s="49" customFormat="1" ht="30" customHeight="1" x14ac:dyDescent="0.25">
      <c r="A3990" s="1325" t="s">
        <v>922</v>
      </c>
      <c r="B3990" s="402" t="s">
        <v>2547</v>
      </c>
      <c r="C3990" s="403"/>
      <c r="D3990" s="404"/>
      <c r="E3990" s="760">
        <v>1230</v>
      </c>
      <c r="F3990" s="22" t="s">
        <v>11</v>
      </c>
      <c r="G3990" s="730"/>
      <c r="H3990" s="649"/>
      <c r="I3990" s="751">
        <v>1.02</v>
      </c>
      <c r="J3990" s="20"/>
      <c r="K3990" s="756">
        <f>+E3990*I3990</f>
        <v>1254.5999999999999</v>
      </c>
      <c r="L3990" s="22" t="s">
        <v>11</v>
      </c>
      <c r="M3990" s="25"/>
      <c r="N3990" s="25"/>
      <c r="O3990" s="213"/>
      <c r="P3990" s="50"/>
      <c r="Q3990" s="50"/>
      <c r="R3990" s="212"/>
      <c r="S3990" s="212"/>
      <c r="T3990" s="50"/>
    </row>
    <row r="3991" spans="1:21" ht="30" customHeight="1" x14ac:dyDescent="0.25">
      <c r="A3991" s="1325" t="s">
        <v>916</v>
      </c>
      <c r="B3991" s="503" t="s">
        <v>2548</v>
      </c>
      <c r="C3991" s="504"/>
      <c r="D3991" s="505"/>
      <c r="E3991" s="405">
        <v>298</v>
      </c>
      <c r="F3991" s="22" t="s">
        <v>11</v>
      </c>
      <c r="G3991" s="730"/>
      <c r="H3991" s="649"/>
      <c r="I3991" s="751">
        <v>1.02</v>
      </c>
      <c r="J3991" s="20"/>
      <c r="K3991" s="756">
        <f>+E3991*I3991</f>
        <v>303.95999999999998</v>
      </c>
      <c r="L3991" s="20" t="s">
        <v>11</v>
      </c>
      <c r="O3991" s="213"/>
      <c r="P3991" s="43"/>
      <c r="Q3991" s="43"/>
      <c r="R3991" s="60"/>
      <c r="S3991" s="60"/>
      <c r="T3991" s="43"/>
    </row>
    <row r="3992" spans="1:21" ht="30" customHeight="1" x14ac:dyDescent="0.25">
      <c r="A3992" s="1325" t="s">
        <v>916</v>
      </c>
      <c r="B3992" s="503" t="s">
        <v>2549</v>
      </c>
      <c r="C3992" s="504"/>
      <c r="D3992" s="505"/>
      <c r="E3992" s="405">
        <v>147</v>
      </c>
      <c r="F3992" s="22" t="s">
        <v>11</v>
      </c>
      <c r="G3992" s="730"/>
      <c r="H3992" s="649"/>
      <c r="I3992" s="751">
        <v>1.02</v>
      </c>
      <c r="J3992" s="20"/>
      <c r="K3992" s="756">
        <f>+E3992*I3992</f>
        <v>149.94</v>
      </c>
      <c r="L3992" s="20" t="s">
        <v>11</v>
      </c>
      <c r="O3992" s="213"/>
      <c r="P3992" s="43"/>
      <c r="Q3992" s="43"/>
      <c r="R3992" s="60"/>
      <c r="S3992" s="60"/>
      <c r="T3992" s="43"/>
    </row>
    <row r="3993" spans="1:21" ht="30" customHeight="1" x14ac:dyDescent="0.25">
      <c r="A3993" s="1325" t="s">
        <v>916</v>
      </c>
      <c r="B3993" s="503" t="s">
        <v>2550</v>
      </c>
      <c r="C3993" s="504"/>
      <c r="D3993" s="505"/>
      <c r="E3993" s="405">
        <v>6.04</v>
      </c>
      <c r="F3993" s="22" t="s">
        <v>576</v>
      </c>
      <c r="G3993" s="730">
        <v>80</v>
      </c>
      <c r="H3993" s="649" t="s">
        <v>2551</v>
      </c>
      <c r="I3993" s="751">
        <v>1.02</v>
      </c>
      <c r="J3993" s="20"/>
      <c r="K3993" s="756">
        <f>+E3993*G3993*I3993</f>
        <v>492.86399999999998</v>
      </c>
      <c r="L3993" s="20" t="s">
        <v>11</v>
      </c>
      <c r="O3993" s="213"/>
      <c r="P3993" s="43"/>
      <c r="Q3993" s="43"/>
      <c r="R3993" s="60"/>
      <c r="S3993" s="60"/>
      <c r="T3993" s="43"/>
    </row>
    <row r="3994" spans="1:21" ht="30" customHeight="1" x14ac:dyDescent="0.25">
      <c r="A3994" s="1325" t="s">
        <v>2552</v>
      </c>
      <c r="B3994" s="503" t="s">
        <v>2553</v>
      </c>
      <c r="C3994" s="504"/>
      <c r="D3994" s="505"/>
      <c r="E3994" s="405">
        <v>324</v>
      </c>
      <c r="F3994" s="22" t="s">
        <v>576</v>
      </c>
      <c r="G3994" s="730"/>
      <c r="H3994" s="649"/>
      <c r="I3994" s="751">
        <v>1.02</v>
      </c>
      <c r="J3994" s="20"/>
      <c r="K3994" s="756">
        <f>+E3994*I3994</f>
        <v>330.48</v>
      </c>
      <c r="L3994" s="20" t="s">
        <v>11</v>
      </c>
      <c r="O3994" s="213"/>
      <c r="P3994" s="43"/>
      <c r="Q3994" s="43"/>
      <c r="R3994" s="60"/>
      <c r="S3994" s="60"/>
      <c r="T3994" s="43"/>
    </row>
    <row r="3995" spans="1:21" ht="30" customHeight="1" x14ac:dyDescent="0.25">
      <c r="A3995" s="1494"/>
      <c r="B3995" s="524"/>
      <c r="C3995" s="524"/>
      <c r="D3995" s="407"/>
      <c r="E3995" s="405"/>
      <c r="F3995" s="22"/>
      <c r="G3995" s="730"/>
      <c r="H3995" s="649"/>
      <c r="I3995" s="751"/>
      <c r="J3995" s="20" t="s">
        <v>578</v>
      </c>
      <c r="K3995" s="756">
        <f>SUM(K3990:K3994)</f>
        <v>2531.8440000000001</v>
      </c>
      <c r="L3995" s="20" t="s">
        <v>11</v>
      </c>
      <c r="M3995" s="43"/>
      <c r="O3995" s="213"/>
      <c r="P3995" s="43"/>
      <c r="Q3995" s="43"/>
      <c r="R3995" s="60"/>
      <c r="S3995" s="60"/>
      <c r="T3995" s="43"/>
    </row>
    <row r="3996" spans="1:21" ht="30" customHeight="1" x14ac:dyDescent="0.25">
      <c r="A3996" s="20"/>
      <c r="B3996" s="410"/>
      <c r="C3996" s="410"/>
      <c r="D3996" s="410"/>
      <c r="E3996" s="405"/>
      <c r="F3996" s="338" t="s">
        <v>533</v>
      </c>
      <c r="G3996" s="339" t="s">
        <v>534</v>
      </c>
      <c r="H3996" s="339"/>
      <c r="I3996" s="339"/>
      <c r="J3996" s="339"/>
      <c r="K3996" s="340">
        <v>1.07</v>
      </c>
      <c r="L3996" s="10"/>
      <c r="O3996" s="213"/>
      <c r="P3996" s="43"/>
      <c r="Q3996" s="43"/>
      <c r="R3996" s="60"/>
      <c r="S3996" s="60"/>
      <c r="T3996" s="43"/>
    </row>
    <row r="3997" spans="1:21" ht="30" customHeight="1" x14ac:dyDescent="0.25">
      <c r="A3997" s="20"/>
      <c r="B3997" s="410"/>
      <c r="C3997" s="410"/>
      <c r="D3997" s="410"/>
      <c r="E3997" s="405"/>
      <c r="F3997" s="343"/>
      <c r="G3997" s="344" t="s">
        <v>535</v>
      </c>
      <c r="H3997" s="344"/>
      <c r="I3997" s="344"/>
      <c r="J3997" s="344"/>
      <c r="K3997" s="340">
        <v>1.02</v>
      </c>
      <c r="L3997" s="10"/>
      <c r="M3997" s="502"/>
      <c r="O3997" s="213"/>
      <c r="P3997" s="43"/>
      <c r="Q3997" s="43"/>
      <c r="R3997" s="60"/>
      <c r="S3997" s="60"/>
      <c r="T3997" s="43"/>
    </row>
    <row r="3998" spans="1:21" ht="30" customHeight="1" x14ac:dyDescent="0.25">
      <c r="A3998" s="1494"/>
      <c r="B3998" s="524"/>
      <c r="C3998" s="524"/>
      <c r="D3998" s="407"/>
      <c r="E3998" s="405"/>
      <c r="F3998" s="22"/>
      <c r="G3998" s="730"/>
      <c r="H3998" s="649"/>
      <c r="I3998" s="751"/>
      <c r="J3998" s="20" t="s">
        <v>358</v>
      </c>
      <c r="K3998" s="756">
        <f>+K3995*K3996/K3997</f>
        <v>2655.9540000000002</v>
      </c>
      <c r="L3998" s="20" t="s">
        <v>11</v>
      </c>
      <c r="O3998" s="213"/>
      <c r="P3998" s="43"/>
      <c r="Q3998" s="43"/>
      <c r="R3998" s="60"/>
      <c r="S3998" s="60"/>
      <c r="T3998" s="43"/>
    </row>
    <row r="3999" spans="1:21" ht="30" customHeight="1" thickBot="1" x14ac:dyDescent="0.3">
      <c r="A3999" s="1213" t="s">
        <v>2554</v>
      </c>
      <c r="B3999" s="1214"/>
      <c r="C3999" s="1214"/>
      <c r="D3999" s="1215"/>
      <c r="E3999" s="18"/>
      <c r="F3999" s="18"/>
      <c r="G3999" s="413" t="s">
        <v>537</v>
      </c>
      <c r="H3999" s="18"/>
      <c r="I3999" s="18"/>
      <c r="J3999" s="361">
        <f>VLOOKUP(B3988,'[2]Mil Cost Premiums for RUCs'!$A$4:$R$263,18,FALSE)</f>
        <v>1.0905505199999999</v>
      </c>
      <c r="K3999" s="23">
        <f>+K3995*J3999</f>
        <v>2761.1037907588798</v>
      </c>
      <c r="L3999" s="20" t="s">
        <v>11</v>
      </c>
      <c r="N3999" s="502"/>
      <c r="O3999" s="213"/>
      <c r="P3999" s="43"/>
      <c r="Q3999" s="43"/>
      <c r="R3999" s="60"/>
      <c r="S3999" s="60"/>
      <c r="T3999" s="43"/>
    </row>
    <row r="4000" spans="1:21" ht="30" customHeight="1" thickBot="1" x14ac:dyDescent="0.3">
      <c r="A4000" s="76"/>
      <c r="B4000" s="77"/>
      <c r="C4000" s="77"/>
      <c r="D4000" s="77"/>
      <c r="E4000" s="77"/>
      <c r="F4000" s="77"/>
      <c r="G4000" s="77"/>
      <c r="H4000" s="77"/>
      <c r="I4000" s="77"/>
      <c r="J4000" s="77"/>
      <c r="K4000" s="77"/>
      <c r="L4000" s="78"/>
      <c r="P4000" s="43"/>
      <c r="Q4000" s="43"/>
      <c r="R4000" s="43"/>
      <c r="S4000" s="60"/>
      <c r="T4000" s="60"/>
      <c r="U4000" s="43"/>
    </row>
    <row r="4001" spans="1:21" ht="30" customHeight="1" x14ac:dyDescent="0.25">
      <c r="A4001" s="306" t="s">
        <v>288</v>
      </c>
      <c r="B4001" s="307">
        <v>8211</v>
      </c>
      <c r="C4001" s="1513" t="s">
        <v>2555</v>
      </c>
      <c r="D4001" s="1514"/>
      <c r="E4001" s="540" t="s">
        <v>291</v>
      </c>
      <c r="F4001" s="541" t="s">
        <v>223</v>
      </c>
      <c r="G4001" s="123" t="s">
        <v>375</v>
      </c>
      <c r="H4001" s="600">
        <v>35975273</v>
      </c>
      <c r="I4001" s="540" t="s">
        <v>292</v>
      </c>
      <c r="J4001" s="38" t="s">
        <v>883</v>
      </c>
      <c r="K4001" s="38"/>
      <c r="L4001" s="389"/>
      <c r="M4001" s="654"/>
      <c r="P4001" s="43"/>
      <c r="Q4001" s="43"/>
      <c r="R4001" s="43"/>
      <c r="S4001" s="60"/>
      <c r="T4001" s="60"/>
      <c r="U4001" s="43"/>
    </row>
    <row r="4002" spans="1:21" ht="30" customHeight="1" x14ac:dyDescent="0.25">
      <c r="A4002" s="695" t="s">
        <v>529</v>
      </c>
      <c r="B4002" s="883" t="s">
        <v>2556</v>
      </c>
      <c r="C4002" s="884"/>
      <c r="D4002" s="885"/>
      <c r="E4002" s="546" t="s">
        <v>519</v>
      </c>
      <c r="F4002" s="546" t="s">
        <v>561</v>
      </c>
      <c r="G4002" s="547" t="s">
        <v>562</v>
      </c>
      <c r="H4002" s="548"/>
      <c r="I4002" s="424" t="s">
        <v>530</v>
      </c>
      <c r="J4002" s="424"/>
      <c r="K4002" s="493" t="s">
        <v>521</v>
      </c>
      <c r="L4002" s="494"/>
      <c r="P4002" s="43"/>
      <c r="Q4002" s="43"/>
      <c r="R4002" s="43"/>
      <c r="S4002" s="60"/>
      <c r="T4002" s="60"/>
      <c r="U4002" s="43"/>
    </row>
    <row r="4003" spans="1:21" ht="30" customHeight="1" x14ac:dyDescent="0.25">
      <c r="A4003" s="24"/>
      <c r="B4003" s="129" t="s">
        <v>2557</v>
      </c>
      <c r="C4003" s="130"/>
      <c r="D4003" s="131"/>
      <c r="E4003" s="1515">
        <v>33475</v>
      </c>
      <c r="F4003" s="5" t="s">
        <v>2558</v>
      </c>
      <c r="G4003" s="697">
        <f>+H4001/E4003</f>
        <v>1074.6907542942495</v>
      </c>
      <c r="H4003" s="1516" t="s">
        <v>2559</v>
      </c>
      <c r="I4003" s="442"/>
      <c r="J4003" s="971"/>
      <c r="K4003" s="5"/>
      <c r="L4003" s="5"/>
      <c r="P4003" s="43"/>
      <c r="Q4003" s="43"/>
      <c r="R4003" s="43"/>
      <c r="S4003" s="60"/>
      <c r="T4003" s="60"/>
      <c r="U4003" s="43"/>
    </row>
    <row r="4004" spans="1:21" ht="30" customHeight="1" x14ac:dyDescent="0.25">
      <c r="A4004" s="1517" t="s">
        <v>2560</v>
      </c>
      <c r="B4004" s="129" t="s">
        <v>2561</v>
      </c>
      <c r="C4004" s="130"/>
      <c r="D4004" s="131"/>
      <c r="E4004" s="700">
        <v>476</v>
      </c>
      <c r="F4004" s="5" t="s">
        <v>2562</v>
      </c>
      <c r="G4004" s="1373"/>
      <c r="H4004" s="698"/>
      <c r="I4004" s="10"/>
      <c r="J4004" s="10"/>
      <c r="K4004" s="696"/>
      <c r="L4004" s="5"/>
      <c r="P4004" s="43"/>
      <c r="Q4004" s="43"/>
      <c r="R4004" s="43"/>
      <c r="S4004" s="60"/>
      <c r="T4004" s="60"/>
      <c r="U4004" s="43"/>
    </row>
    <row r="4005" spans="1:21" ht="30" customHeight="1" x14ac:dyDescent="0.25">
      <c r="A4005" s="1517"/>
      <c r="B4005" s="129" t="s">
        <v>2563</v>
      </c>
      <c r="C4005" s="130"/>
      <c r="D4005" s="131"/>
      <c r="E4005" s="700"/>
      <c r="F4005" s="5" t="s">
        <v>2564</v>
      </c>
      <c r="G4005" s="1518">
        <f>+E4004/E4003</f>
        <v>1.4219566840926064E-2</v>
      </c>
      <c r="H4005" s="698" t="s">
        <v>2565</v>
      </c>
      <c r="I4005" s="10">
        <v>1.06</v>
      </c>
      <c r="J4005" s="10"/>
      <c r="K4005" s="1519">
        <f>+G4005*I4005</f>
        <v>1.507274085138163E-2</v>
      </c>
      <c r="L4005" s="5" t="s">
        <v>223</v>
      </c>
      <c r="O4005" s="1499"/>
      <c r="P4005" s="925"/>
      <c r="Q4005" s="925"/>
      <c r="R4005" s="925"/>
      <c r="S4005" s="60"/>
      <c r="T4005" s="60"/>
      <c r="U4005" s="43"/>
    </row>
    <row r="4006" spans="1:21" ht="30" customHeight="1" x14ac:dyDescent="0.25">
      <c r="A4006" s="1517" t="s">
        <v>2566</v>
      </c>
      <c r="B4006" s="138" t="s">
        <v>2567</v>
      </c>
      <c r="C4006" s="139"/>
      <c r="D4006" s="140"/>
      <c r="E4006" s="700">
        <v>675</v>
      </c>
      <c r="F4006" s="5" t="s">
        <v>7</v>
      </c>
      <c r="G4006" s="1520">
        <f>30*E4006/H4001</f>
        <v>5.6288662493263078E-4</v>
      </c>
      <c r="H4006" s="698" t="s">
        <v>2565</v>
      </c>
      <c r="I4006" s="10">
        <v>1.06</v>
      </c>
      <c r="J4006" s="10"/>
      <c r="K4006" s="1521">
        <f>+G4006*I4006</f>
        <v>5.966598224285887E-4</v>
      </c>
      <c r="L4006" s="5" t="s">
        <v>223</v>
      </c>
      <c r="P4006" s="43"/>
      <c r="Q4006" s="43"/>
      <c r="R4006" s="43"/>
      <c r="S4006" s="60"/>
      <c r="T4006" s="60"/>
      <c r="U4006" s="43"/>
    </row>
    <row r="4007" spans="1:21" s="128" customFormat="1" ht="30" customHeight="1" x14ac:dyDescent="0.25">
      <c r="A4007" s="24"/>
      <c r="B4007" s="580"/>
      <c r="C4007" s="532"/>
      <c r="D4007" s="533"/>
      <c r="E4007" s="13"/>
      <c r="F4007" s="13"/>
      <c r="G4007" s="13"/>
      <c r="H4007" s="13"/>
      <c r="I4007" s="13"/>
      <c r="J4007" s="10" t="s">
        <v>578</v>
      </c>
      <c r="K4007" s="1519">
        <f>SUM(K4005:K4006)</f>
        <v>1.5669400673810219E-2</v>
      </c>
      <c r="L4007" s="5" t="s">
        <v>223</v>
      </c>
      <c r="M4007" s="25"/>
      <c r="N4007" s="25"/>
      <c r="O4007" s="27"/>
      <c r="P4007"/>
      <c r="Q4007"/>
      <c r="R4007"/>
      <c r="S4007"/>
      <c r="T4007"/>
      <c r="U4007" s="925"/>
    </row>
    <row r="4008" spans="1:21" s="49" customFormat="1" ht="30" customHeight="1" x14ac:dyDescent="0.25">
      <c r="A4008" s="61"/>
      <c r="B4008" s="498"/>
      <c r="C4008" s="498"/>
      <c r="D4008" s="498"/>
      <c r="E4008" s="405"/>
      <c r="F4008" s="338" t="s">
        <v>533</v>
      </c>
      <c r="G4008" s="339" t="s">
        <v>534</v>
      </c>
      <c r="H4008" s="339"/>
      <c r="I4008" s="339"/>
      <c r="J4008" s="339"/>
      <c r="K4008" s="340">
        <v>1.07</v>
      </c>
      <c r="L4008" s="10"/>
      <c r="M4008" s="25"/>
      <c r="N4008" s="25"/>
      <c r="O4008" s="27"/>
      <c r="U4008" s="50"/>
    </row>
    <row r="4009" spans="1:21" ht="30" customHeight="1" x14ac:dyDescent="0.25">
      <c r="A4009" s="61"/>
      <c r="B4009" s="498"/>
      <c r="C4009" s="498"/>
      <c r="D4009" s="498"/>
      <c r="E4009" s="405"/>
      <c r="F4009" s="343"/>
      <c r="G4009" s="344" t="s">
        <v>535</v>
      </c>
      <c r="H4009" s="344"/>
      <c r="I4009" s="344"/>
      <c r="J4009" s="344"/>
      <c r="K4009" s="340">
        <v>1.02</v>
      </c>
      <c r="L4009" s="10"/>
      <c r="P4009" s="43"/>
      <c r="Q4009" s="43"/>
      <c r="R4009" s="43"/>
      <c r="S4009" s="60"/>
      <c r="T4009" s="60"/>
    </row>
    <row r="4010" spans="1:21" ht="30" customHeight="1" x14ac:dyDescent="0.25">
      <c r="A4010" s="24"/>
      <c r="B4010" s="580" t="s">
        <v>2568</v>
      </c>
      <c r="C4010" s="532"/>
      <c r="D4010" s="533"/>
      <c r="E4010" s="13"/>
      <c r="F4010" s="13"/>
      <c r="G4010" s="13"/>
      <c r="H4010" s="13"/>
      <c r="I4010" s="13"/>
      <c r="J4010" s="10" t="s">
        <v>358</v>
      </c>
      <c r="K4010" s="1519">
        <f>+K4007*K4008/K4009</f>
        <v>1.643750854997739E-2</v>
      </c>
      <c r="L4010" s="5" t="s">
        <v>223</v>
      </c>
      <c r="P4010" s="43"/>
      <c r="Q4010" s="43"/>
      <c r="R4010" s="43"/>
      <c r="S4010" s="60"/>
      <c r="T4010" s="60"/>
    </row>
    <row r="4011" spans="1:21" ht="30" customHeight="1" x14ac:dyDescent="0.25">
      <c r="A4011" s="24" t="s">
        <v>562</v>
      </c>
      <c r="B4011" s="129" t="s">
        <v>2557</v>
      </c>
      <c r="C4011" s="130"/>
      <c r="D4011" s="131"/>
      <c r="E4011" s="1515">
        <v>33475</v>
      </c>
      <c r="F4011" s="5" t="s">
        <v>2558</v>
      </c>
      <c r="G4011" s="1522">
        <f>H4001/E4011</f>
        <v>1074.6907542942495</v>
      </c>
      <c r="H4011" s="1255" t="s">
        <v>2559</v>
      </c>
      <c r="I4011" s="1256"/>
      <c r="J4011" s="10"/>
      <c r="K4011" s="1519"/>
      <c r="L4011" s="5"/>
      <c r="P4011" s="43"/>
      <c r="Q4011" s="43"/>
      <c r="R4011" s="43"/>
      <c r="S4011" s="60"/>
      <c r="T4011" s="60"/>
    </row>
    <row r="4012" spans="1:21" ht="30" customHeight="1" x14ac:dyDescent="0.25">
      <c r="A4012" s="24"/>
      <c r="B4012" s="580" t="s">
        <v>2569</v>
      </c>
      <c r="C4012" s="532"/>
      <c r="D4012" s="533"/>
      <c r="E4012" s="13"/>
      <c r="F4012" s="13"/>
      <c r="G4012" s="413" t="s">
        <v>537</v>
      </c>
      <c r="H4012" s="13"/>
      <c r="I4012" s="13"/>
      <c r="J4012" s="361">
        <f>VLOOKUP(B4001,'Mil Cost Premiums for RUCs'!$A$4:$R$265,18,FALSE)</f>
        <v>1.0905505199999999</v>
      </c>
      <c r="K4012" s="1523">
        <f>+K4007*J4012</f>
        <v>1.7088273052912082E-2</v>
      </c>
      <c r="L4012" s="10" t="s">
        <v>223</v>
      </c>
      <c r="N4012" s="1524"/>
      <c r="P4012" s="43"/>
      <c r="Q4012" s="43"/>
      <c r="R4012" s="43"/>
      <c r="S4012" s="60"/>
      <c r="T4012" s="60"/>
    </row>
    <row r="4013" spans="1:21" ht="75" customHeight="1" x14ac:dyDescent="0.25">
      <c r="A4013" s="580" t="s">
        <v>538</v>
      </c>
      <c r="B4013" s="532"/>
      <c r="C4013" s="532"/>
      <c r="D4013" s="532"/>
      <c r="E4013" s="532"/>
      <c r="F4013" s="532"/>
      <c r="G4013" s="532"/>
      <c r="H4013" s="532"/>
      <c r="I4013" s="532"/>
      <c r="J4013" s="532"/>
      <c r="K4013" s="532"/>
      <c r="L4013" s="533"/>
      <c r="M4013" s="43"/>
      <c r="P4013" s="43"/>
      <c r="Q4013" s="43"/>
      <c r="R4013" s="43"/>
      <c r="S4013" s="60"/>
      <c r="T4013" s="60"/>
    </row>
    <row r="4014" spans="1:21" ht="75" customHeight="1" x14ac:dyDescent="0.25">
      <c r="A4014" s="217" t="s">
        <v>539</v>
      </c>
      <c r="B4014" s="218"/>
      <c r="C4014" s="219"/>
      <c r="D4014" s="386" t="s">
        <v>2570</v>
      </c>
      <c r="E4014" s="849"/>
      <c r="F4014" s="849"/>
      <c r="G4014" s="849"/>
      <c r="H4014" s="849"/>
      <c r="I4014" s="849"/>
      <c r="J4014" s="849"/>
      <c r="K4014" s="849"/>
      <c r="L4014" s="850"/>
      <c r="O4014"/>
      <c r="P4014" s="412"/>
      <c r="Q4014" s="391"/>
      <c r="R4014" s="393"/>
    </row>
    <row r="4015" spans="1:21" ht="30" customHeight="1" x14ac:dyDescent="0.25">
      <c r="A4015" s="217" t="s">
        <v>541</v>
      </c>
      <c r="B4015" s="218"/>
      <c r="C4015" s="219"/>
      <c r="D4015" s="386" t="s">
        <v>2571</v>
      </c>
      <c r="E4015" s="849"/>
      <c r="F4015" s="849"/>
      <c r="G4015" s="849"/>
      <c r="H4015" s="849"/>
      <c r="I4015" s="849"/>
      <c r="J4015" s="849"/>
      <c r="K4015" s="849"/>
      <c r="L4015" s="850"/>
      <c r="M4015" s="502"/>
      <c r="O4015"/>
      <c r="P4015" s="412"/>
      <c r="Q4015" s="391"/>
      <c r="R4015" s="393"/>
    </row>
    <row r="4016" spans="1:21" ht="30" customHeight="1" x14ac:dyDescent="0.25">
      <c r="A4016" s="217" t="s">
        <v>543</v>
      </c>
      <c r="B4016" s="218"/>
      <c r="C4016" s="219"/>
      <c r="D4016" s="386" t="s">
        <v>2572</v>
      </c>
      <c r="E4016" s="849"/>
      <c r="F4016" s="849"/>
      <c r="G4016" s="849"/>
      <c r="H4016" s="849"/>
      <c r="I4016" s="849"/>
      <c r="J4016" s="849"/>
      <c r="K4016" s="849"/>
      <c r="L4016" s="850"/>
      <c r="M4016" s="556"/>
      <c r="N4016" s="556"/>
      <c r="O4016"/>
      <c r="P4016" s="412"/>
      <c r="Q4016" s="391"/>
      <c r="R4016" s="393"/>
    </row>
    <row r="4017" spans="1:19" ht="45" customHeight="1" x14ac:dyDescent="0.25">
      <c r="A4017" s="217" t="s">
        <v>546</v>
      </c>
      <c r="B4017" s="218"/>
      <c r="C4017" s="219"/>
      <c r="D4017" s="386" t="s">
        <v>2573</v>
      </c>
      <c r="E4017" s="849"/>
      <c r="F4017" s="849"/>
      <c r="G4017" s="849"/>
      <c r="H4017" s="849"/>
      <c r="I4017" s="849"/>
      <c r="J4017" s="849"/>
      <c r="K4017" s="849"/>
      <c r="L4017" s="850"/>
      <c r="N4017" s="502"/>
      <c r="O4017"/>
      <c r="P4017" s="412"/>
      <c r="Q4017" s="391"/>
      <c r="R4017" s="393"/>
    </row>
    <row r="4018" spans="1:19" ht="30" customHeight="1" x14ac:dyDescent="0.25">
      <c r="A4018" s="217" t="s">
        <v>548</v>
      </c>
      <c r="B4018" s="218"/>
      <c r="C4018" s="219"/>
      <c r="D4018" s="386" t="s">
        <v>2574</v>
      </c>
      <c r="E4018" s="849"/>
      <c r="F4018" s="849"/>
      <c r="G4018" s="849"/>
      <c r="H4018" s="849"/>
      <c r="I4018" s="849"/>
      <c r="J4018" s="849"/>
      <c r="K4018" s="849"/>
      <c r="L4018" s="850"/>
      <c r="O4018"/>
      <c r="P4018" s="412"/>
      <c r="Q4018" s="391"/>
      <c r="R4018" s="393"/>
    </row>
    <row r="4019" spans="1:19" ht="30" customHeight="1" x14ac:dyDescent="0.25">
      <c r="A4019" s="217" t="s">
        <v>550</v>
      </c>
      <c r="B4019" s="218"/>
      <c r="C4019" s="219"/>
      <c r="D4019" s="386" t="s">
        <v>2575</v>
      </c>
      <c r="E4019" s="849"/>
      <c r="F4019" s="849"/>
      <c r="G4019" s="849"/>
      <c r="H4019" s="849"/>
      <c r="I4019" s="849"/>
      <c r="J4019" s="849"/>
      <c r="K4019" s="849"/>
      <c r="L4019" s="850"/>
      <c r="O4019"/>
      <c r="P4019" s="412"/>
      <c r="Q4019" s="391"/>
      <c r="R4019" s="393"/>
    </row>
    <row r="4020" spans="1:19" ht="30" customHeight="1" x14ac:dyDescent="0.25">
      <c r="A4020" s="217" t="s">
        <v>552</v>
      </c>
      <c r="B4020" s="218"/>
      <c r="C4020" s="219"/>
      <c r="D4020" s="386" t="s">
        <v>2576</v>
      </c>
      <c r="E4020" s="849"/>
      <c r="F4020" s="849"/>
      <c r="G4020" s="849"/>
      <c r="H4020" s="849"/>
      <c r="I4020" s="849"/>
      <c r="J4020" s="849"/>
      <c r="K4020" s="849"/>
      <c r="L4020" s="850"/>
      <c r="O4020"/>
      <c r="P4020" s="412"/>
      <c r="Q4020" s="391"/>
      <c r="R4020" s="393"/>
    </row>
    <row r="4021" spans="1:19" ht="75" customHeight="1" x14ac:dyDescent="0.25">
      <c r="A4021" s="217" t="s">
        <v>553</v>
      </c>
      <c r="B4021" s="218"/>
      <c r="C4021" s="219"/>
      <c r="D4021" s="386" t="s">
        <v>660</v>
      </c>
      <c r="E4021" s="849"/>
      <c r="F4021" s="849"/>
      <c r="G4021" s="849"/>
      <c r="H4021" s="849"/>
      <c r="I4021" s="849"/>
      <c r="J4021" s="849"/>
      <c r="K4021" s="849"/>
      <c r="L4021" s="850"/>
      <c r="O4021" s="43"/>
      <c r="P4021" s="672"/>
      <c r="Q4021" s="671"/>
      <c r="R4021" s="673"/>
    </row>
    <row r="4022" spans="1:19" ht="135" customHeight="1" thickBot="1" x14ac:dyDescent="0.3">
      <c r="A4022" s="1282" t="s">
        <v>556</v>
      </c>
      <c r="B4022" s="1283"/>
      <c r="C4022" s="1284"/>
      <c r="D4022" s="386" t="s">
        <v>2577</v>
      </c>
      <c r="E4022" s="849"/>
      <c r="F4022" s="849"/>
      <c r="G4022" s="849"/>
      <c r="H4022" s="849"/>
      <c r="I4022" s="849"/>
      <c r="J4022" s="849"/>
      <c r="K4022" s="849"/>
      <c r="L4022" s="850"/>
      <c r="M4022" s="419"/>
      <c r="O4022" s="43"/>
      <c r="P4022" s="672"/>
      <c r="Q4022" s="671"/>
      <c r="R4022" s="673"/>
    </row>
    <row r="4023" spans="1:19" ht="30" customHeight="1" thickBot="1" x14ac:dyDescent="0.3">
      <c r="A4023" s="76" t="s">
        <v>2578</v>
      </c>
      <c r="B4023" s="77"/>
      <c r="C4023" s="77"/>
      <c r="D4023" s="77"/>
      <c r="E4023" s="77"/>
      <c r="F4023" s="77"/>
      <c r="G4023" s="77"/>
      <c r="H4023" s="77"/>
      <c r="I4023" s="77"/>
      <c r="J4023" s="77"/>
      <c r="K4023" s="77"/>
      <c r="L4023" s="78"/>
      <c r="M4023" s="419"/>
      <c r="O4023"/>
      <c r="P4023" s="412"/>
      <c r="Q4023" s="391"/>
      <c r="R4023" s="393"/>
    </row>
    <row r="4024" spans="1:19" ht="30" customHeight="1" x14ac:dyDescent="0.25">
      <c r="A4024" s="207" t="s">
        <v>288</v>
      </c>
      <c r="B4024" s="208">
        <v>8221</v>
      </c>
      <c r="C4024" s="282" t="s">
        <v>2579</v>
      </c>
      <c r="D4024" s="283"/>
      <c r="E4024" s="177" t="s">
        <v>291</v>
      </c>
      <c r="F4024" s="178" t="s">
        <v>7</v>
      </c>
      <c r="G4024" s="123" t="s">
        <v>375</v>
      </c>
      <c r="H4024" s="302">
        <v>15561</v>
      </c>
      <c r="I4024" s="177" t="s">
        <v>292</v>
      </c>
      <c r="J4024" s="38" t="s">
        <v>623</v>
      </c>
      <c r="K4024" s="38"/>
      <c r="L4024" s="389"/>
      <c r="M4024" s="419"/>
      <c r="N4024" s="420"/>
      <c r="O4024"/>
      <c r="P4024" s="412"/>
      <c r="Q4024" s="391"/>
      <c r="R4024" s="393"/>
    </row>
    <row r="4025" spans="1:19" ht="30" customHeight="1" x14ac:dyDescent="0.25">
      <c r="A4025" s="181" t="s">
        <v>517</v>
      </c>
      <c r="B4025" s="180" t="s">
        <v>295</v>
      </c>
      <c r="C4025" s="180"/>
      <c r="D4025" s="180"/>
      <c r="E4025" s="285" t="s">
        <v>2491</v>
      </c>
      <c r="F4025" s="181" t="s">
        <v>518</v>
      </c>
      <c r="G4025" s="665" t="s">
        <v>562</v>
      </c>
      <c r="H4025" s="666"/>
      <c r="I4025" s="286" t="s">
        <v>520</v>
      </c>
      <c r="J4025" s="287"/>
      <c r="K4025" s="493" t="s">
        <v>521</v>
      </c>
      <c r="L4025" s="494"/>
      <c r="M4025" s="419"/>
      <c r="N4025" s="420"/>
      <c r="O4025"/>
      <c r="P4025" s="392"/>
      <c r="Q4025" s="57"/>
      <c r="R4025" s="393"/>
    </row>
    <row r="4026" spans="1:19" ht="45" customHeight="1" x14ac:dyDescent="0.25">
      <c r="A4026" s="20">
        <v>82210</v>
      </c>
      <c r="B4026" s="402" t="s">
        <v>2580</v>
      </c>
      <c r="C4026" s="403"/>
      <c r="D4026" s="404"/>
      <c r="E4026" s="405"/>
      <c r="F4026" s="729"/>
      <c r="G4026" s="730"/>
      <c r="H4026" s="649"/>
      <c r="K4026" s="304"/>
      <c r="L4026" s="290"/>
      <c r="M4026" s="419"/>
      <c r="N4026" s="420"/>
      <c r="O4026"/>
      <c r="P4026" s="392"/>
      <c r="Q4026" s="57"/>
      <c r="R4026" s="393"/>
    </row>
    <row r="4027" spans="1:19" ht="30" customHeight="1" x14ac:dyDescent="0.25">
      <c r="A4027" s="20"/>
      <c r="B4027" s="402" t="s">
        <v>2581</v>
      </c>
      <c r="C4027" s="403"/>
      <c r="D4027" s="404"/>
      <c r="E4027" s="1447">
        <v>546</v>
      </c>
      <c r="F4027" s="729" t="s">
        <v>704</v>
      </c>
      <c r="G4027" s="730"/>
      <c r="H4027" s="649"/>
      <c r="I4027" s="1109">
        <f>+'MILCON Inflation Table'!$F$17</f>
        <v>0.9432470865927236</v>
      </c>
      <c r="J4027" s="1110"/>
      <c r="K4027" s="304">
        <f>+E4027*I4027</f>
        <v>515.01290927962714</v>
      </c>
      <c r="L4027" s="290" t="s">
        <v>7</v>
      </c>
      <c r="M4027" s="419"/>
      <c r="N4027" s="420"/>
      <c r="O4027"/>
      <c r="P4027" s="392"/>
      <c r="Q4027" s="57"/>
      <c r="R4027" s="393"/>
    </row>
    <row r="4028" spans="1:19" s="49" customFormat="1" ht="30" customHeight="1" x14ac:dyDescent="0.25">
      <c r="A4028" s="20"/>
      <c r="B4028" s="402" t="s">
        <v>2582</v>
      </c>
      <c r="C4028" s="403"/>
      <c r="D4028" s="404"/>
      <c r="E4028" s="405">
        <v>541</v>
      </c>
      <c r="F4028" s="729" t="s">
        <v>704</v>
      </c>
      <c r="G4028" s="730"/>
      <c r="H4028" s="649"/>
      <c r="I4028" s="1109">
        <f>+'MILCON Inflation Table'!$F$17</f>
        <v>0.9432470865927236</v>
      </c>
      <c r="J4028" s="1110"/>
      <c r="K4028" s="304">
        <f t="shared" ref="K4028:K4034" si="59">+E4028*I4028</f>
        <v>510.29667384666345</v>
      </c>
      <c r="L4028" s="290" t="s">
        <v>7</v>
      </c>
      <c r="M4028" s="670"/>
      <c r="N4028" s="420"/>
      <c r="P4028" s="412"/>
      <c r="Q4028" s="1525"/>
      <c r="R4028" s="393"/>
    </row>
    <row r="4029" spans="1:19" ht="30" customHeight="1" x14ac:dyDescent="0.25">
      <c r="A4029" s="20"/>
      <c r="B4029" s="402" t="s">
        <v>2583</v>
      </c>
      <c r="C4029" s="403"/>
      <c r="D4029" s="404"/>
      <c r="E4029" s="405">
        <v>541</v>
      </c>
      <c r="F4029" s="729" t="s">
        <v>704</v>
      </c>
      <c r="G4029" s="730"/>
      <c r="H4029" s="649"/>
      <c r="I4029" s="1109">
        <f>+'MILCON Inflation Table'!$F$17</f>
        <v>0.9432470865927236</v>
      </c>
      <c r="J4029" s="1110"/>
      <c r="K4029" s="304">
        <f t="shared" si="59"/>
        <v>510.29667384666345</v>
      </c>
      <c r="L4029" s="290" t="s">
        <v>7</v>
      </c>
      <c r="M4029" s="670"/>
      <c r="N4029" s="420"/>
      <c r="O4029"/>
      <c r="P4029" s="412"/>
      <c r="Q4029" s="57"/>
      <c r="R4029" s="393"/>
    </row>
    <row r="4030" spans="1:19" ht="30" customHeight="1" x14ac:dyDescent="0.25">
      <c r="A4030" s="20"/>
      <c r="B4030" s="402" t="s">
        <v>2584</v>
      </c>
      <c r="C4030" s="403"/>
      <c r="D4030" s="404"/>
      <c r="E4030" s="405">
        <v>336</v>
      </c>
      <c r="F4030" s="729" t="s">
        <v>704</v>
      </c>
      <c r="G4030" s="730"/>
      <c r="H4030" s="649"/>
      <c r="I4030" s="1109">
        <f>+'MILCON Inflation Table'!$F$17</f>
        <v>0.9432470865927236</v>
      </c>
      <c r="J4030" s="1110"/>
      <c r="K4030" s="304">
        <f t="shared" si="59"/>
        <v>316.93102109515513</v>
      </c>
      <c r="L4030" s="290" t="s">
        <v>7</v>
      </c>
      <c r="M4030" s="419"/>
      <c r="N4030" s="671"/>
      <c r="O4030"/>
      <c r="P4030" s="412"/>
      <c r="Q4030" s="57"/>
      <c r="R4030" s="393"/>
      <c r="S4030" s="128"/>
    </row>
    <row r="4031" spans="1:19" ht="30" customHeight="1" x14ac:dyDescent="0.25">
      <c r="A4031" s="20"/>
      <c r="B4031" s="402" t="s">
        <v>2585</v>
      </c>
      <c r="C4031" s="403"/>
      <c r="D4031" s="404"/>
      <c r="E4031" s="405">
        <v>336</v>
      </c>
      <c r="F4031" s="729" t="s">
        <v>704</v>
      </c>
      <c r="G4031" s="730"/>
      <c r="H4031" s="649"/>
      <c r="I4031" s="1109">
        <f>+'MILCON Inflation Table'!$F$17</f>
        <v>0.9432470865927236</v>
      </c>
      <c r="J4031" s="1110"/>
      <c r="K4031" s="304">
        <f t="shared" si="59"/>
        <v>316.93102109515513</v>
      </c>
      <c r="L4031" s="290" t="s">
        <v>7</v>
      </c>
      <c r="M4031" s="419"/>
      <c r="N4031" s="671"/>
      <c r="O4031"/>
      <c r="P4031" s="412"/>
      <c r="Q4031" s="57"/>
      <c r="R4031" s="393"/>
    </row>
    <row r="4032" spans="1:19" ht="30" customHeight="1" x14ac:dyDescent="0.25">
      <c r="A4032" s="20"/>
      <c r="B4032" s="186" t="s">
        <v>2586</v>
      </c>
      <c r="C4032" s="186"/>
      <c r="D4032" s="186"/>
      <c r="E4032" s="405">
        <v>373</v>
      </c>
      <c r="F4032" s="729" t="s">
        <v>704</v>
      </c>
      <c r="G4032" s="730"/>
      <c r="H4032" s="649"/>
      <c r="I4032" s="1109">
        <f>+'MILCON Inflation Table'!$F$17</f>
        <v>0.9432470865927236</v>
      </c>
      <c r="J4032" s="1110"/>
      <c r="K4032" s="304">
        <f t="shared" si="59"/>
        <v>351.83116329908592</v>
      </c>
      <c r="L4032" s="290" t="s">
        <v>7</v>
      </c>
      <c r="M4032" s="419"/>
      <c r="N4032" s="420"/>
      <c r="O4032"/>
      <c r="P4032" s="412"/>
      <c r="Q4032" s="57"/>
      <c r="R4032" s="393"/>
    </row>
    <row r="4033" spans="1:21" ht="30" customHeight="1" x14ac:dyDescent="0.25">
      <c r="A4033" s="20"/>
      <c r="B4033" s="186" t="s">
        <v>2587</v>
      </c>
      <c r="C4033" s="186"/>
      <c r="D4033" s="186"/>
      <c r="E4033" s="405">
        <v>406</v>
      </c>
      <c r="F4033" s="729" t="s">
        <v>704</v>
      </c>
      <c r="G4033" s="730"/>
      <c r="H4033" s="649"/>
      <c r="I4033" s="1109">
        <f>+'MILCON Inflation Table'!$F$17</f>
        <v>0.9432470865927236</v>
      </c>
      <c r="J4033" s="1110"/>
      <c r="K4033" s="304">
        <f t="shared" si="59"/>
        <v>382.95831715664576</v>
      </c>
      <c r="L4033" s="290" t="s">
        <v>7</v>
      </c>
      <c r="M4033" s="419"/>
      <c r="N4033" s="420"/>
      <c r="O4033"/>
      <c r="P4033" s="412"/>
      <c r="Q4033" s="57"/>
      <c r="R4033" s="393"/>
    </row>
    <row r="4034" spans="1:21" ht="30" customHeight="1" x14ac:dyDescent="0.25">
      <c r="A4034" s="20"/>
      <c r="B4034" s="186" t="s">
        <v>2588</v>
      </c>
      <c r="C4034" s="186"/>
      <c r="D4034" s="186"/>
      <c r="E4034" s="405">
        <v>502</v>
      </c>
      <c r="F4034" s="729" t="s">
        <v>704</v>
      </c>
      <c r="G4034" s="730"/>
      <c r="H4034" s="649"/>
      <c r="I4034" s="1109">
        <f>+'MILCON Inflation Table'!$F$17</f>
        <v>0.9432470865927236</v>
      </c>
      <c r="J4034" s="1110"/>
      <c r="K4034" s="304">
        <f t="shared" si="59"/>
        <v>473.51003746954723</v>
      </c>
      <c r="L4034" s="290" t="s">
        <v>7</v>
      </c>
      <c r="M4034" s="419"/>
      <c r="N4034" s="420"/>
      <c r="O4034" s="43"/>
      <c r="P4034" s="672"/>
      <c r="Q4034" s="671"/>
      <c r="R4034" s="673"/>
    </row>
    <row r="4035" spans="1:21" ht="60" customHeight="1" x14ac:dyDescent="0.25">
      <c r="A4035" s="20">
        <v>82220</v>
      </c>
      <c r="B4035" s="191" t="s">
        <v>2589</v>
      </c>
      <c r="C4035" s="191"/>
      <c r="D4035" s="191"/>
      <c r="E4035" s="405"/>
      <c r="F4035" s="729"/>
      <c r="G4035" s="730"/>
      <c r="H4035" s="649"/>
      <c r="I4035" s="1127"/>
      <c r="J4035" s="1128"/>
      <c r="K4035" s="304"/>
      <c r="L4035" s="290"/>
      <c r="M4035" s="425"/>
      <c r="N4035" s="420"/>
      <c r="O4035" s="43"/>
      <c r="P4035" s="672"/>
      <c r="Q4035" s="671"/>
      <c r="R4035" s="673"/>
    </row>
    <row r="4036" spans="1:21" ht="30" customHeight="1" x14ac:dyDescent="0.25">
      <c r="A4036" s="20"/>
      <c r="B4036" s="1526" t="s">
        <v>2590</v>
      </c>
      <c r="C4036" s="504"/>
      <c r="D4036" s="505"/>
      <c r="E4036" s="405">
        <v>400</v>
      </c>
      <c r="F4036" s="729" t="s">
        <v>704</v>
      </c>
      <c r="G4036" s="730"/>
      <c r="H4036" s="649"/>
      <c r="I4036" s="1109">
        <f>+'MILCON Inflation Table'!$F$17</f>
        <v>0.9432470865927236</v>
      </c>
      <c r="J4036" s="1110"/>
      <c r="K4036" s="304">
        <f>+E4036*I4036</f>
        <v>377.29883463708944</v>
      </c>
      <c r="L4036" s="290" t="s">
        <v>7</v>
      </c>
      <c r="M4036" s="419"/>
      <c r="N4036" s="420"/>
      <c r="O4036"/>
      <c r="P4036" s="412"/>
      <c r="Q4036" s="57"/>
      <c r="R4036" s="393"/>
    </row>
    <row r="4037" spans="1:21" ht="30" customHeight="1" x14ac:dyDescent="0.25">
      <c r="A4037" s="20"/>
      <c r="B4037" s="1526" t="s">
        <v>2591</v>
      </c>
      <c r="C4037" s="504"/>
      <c r="D4037" s="505"/>
      <c r="E4037" s="1447">
        <v>400</v>
      </c>
      <c r="F4037" s="729" t="s">
        <v>704</v>
      </c>
      <c r="G4037" s="730"/>
      <c r="H4037" s="649"/>
      <c r="I4037" s="1109">
        <f>+'MILCON Inflation Table'!$F$17</f>
        <v>0.9432470865927236</v>
      </c>
      <c r="J4037" s="1110"/>
      <c r="K4037" s="304">
        <f>+E4037*I4037</f>
        <v>377.29883463708944</v>
      </c>
      <c r="L4037" s="290" t="s">
        <v>7</v>
      </c>
      <c r="M4037" s="419"/>
      <c r="N4037" s="420"/>
      <c r="O4037"/>
      <c r="P4037" s="412"/>
      <c r="Q4037" s="57"/>
      <c r="R4037" s="393"/>
    </row>
    <row r="4038" spans="1:21" ht="30" customHeight="1" x14ac:dyDescent="0.25">
      <c r="A4038" s="20"/>
      <c r="B4038" s="1526" t="s">
        <v>2592</v>
      </c>
      <c r="C4038" s="504"/>
      <c r="D4038" s="505"/>
      <c r="E4038" s="405">
        <v>406</v>
      </c>
      <c r="F4038" s="729" t="s">
        <v>704</v>
      </c>
      <c r="G4038" s="730"/>
      <c r="H4038" s="649"/>
      <c r="I4038" s="1109">
        <f>+'MILCON Inflation Table'!$F$17</f>
        <v>0.9432470865927236</v>
      </c>
      <c r="J4038" s="1110"/>
      <c r="K4038" s="304">
        <f>+E4038*I4038</f>
        <v>382.95831715664576</v>
      </c>
      <c r="L4038" s="290" t="s">
        <v>7</v>
      </c>
      <c r="M4038" s="419"/>
      <c r="N4038" s="420"/>
      <c r="O4038"/>
      <c r="P4038" s="412"/>
      <c r="Q4038" s="57"/>
      <c r="R4038" s="393"/>
    </row>
    <row r="4039" spans="1:21" ht="30" customHeight="1" x14ac:dyDescent="0.25">
      <c r="A4039" s="20"/>
      <c r="B4039" s="503" t="s">
        <v>2593</v>
      </c>
      <c r="C4039" s="504"/>
      <c r="D4039" s="505"/>
      <c r="E4039" s="405">
        <v>460</v>
      </c>
      <c r="F4039" s="729" t="s">
        <v>704</v>
      </c>
      <c r="G4039" s="730"/>
      <c r="H4039" s="649"/>
      <c r="I4039" s="1109">
        <f>+'MILCON Inflation Table'!$F$17</f>
        <v>0.9432470865927236</v>
      </c>
      <c r="J4039" s="1110"/>
      <c r="K4039" s="304">
        <f>+E4039*I4039</f>
        <v>433.89365983265287</v>
      </c>
      <c r="L4039" s="290" t="s">
        <v>7</v>
      </c>
      <c r="M4039" s="419"/>
      <c r="N4039" s="671"/>
      <c r="O4039"/>
      <c r="P4039" s="412"/>
      <c r="Q4039" s="57"/>
      <c r="R4039" s="393"/>
    </row>
    <row r="4040" spans="1:21" ht="30" customHeight="1" x14ac:dyDescent="0.25">
      <c r="A4040" s="20"/>
      <c r="B4040" s="503" t="s">
        <v>2594</v>
      </c>
      <c r="C4040" s="504"/>
      <c r="D4040" s="505"/>
      <c r="E4040" s="405">
        <v>605</v>
      </c>
      <c r="F4040" s="729" t="s">
        <v>704</v>
      </c>
      <c r="G4040" s="730"/>
      <c r="H4040" s="649"/>
      <c r="I4040" s="1109">
        <f>+'MILCON Inflation Table'!$F$17</f>
        <v>0.9432470865927236</v>
      </c>
      <c r="J4040" s="1110"/>
      <c r="K4040" s="304">
        <f>+E4040*I4040</f>
        <v>570.66448738859776</v>
      </c>
      <c r="L4040" s="290" t="s">
        <v>7</v>
      </c>
      <c r="M4040" s="419"/>
      <c r="N4040" s="671"/>
      <c r="O4040"/>
      <c r="P4040" s="412"/>
      <c r="Q4040" s="57"/>
      <c r="R4040" s="393"/>
    </row>
    <row r="4041" spans="1:21" ht="30" customHeight="1" x14ac:dyDescent="0.25">
      <c r="A4041" s="20"/>
      <c r="B4041" s="523"/>
      <c r="C4041" s="524"/>
      <c r="D4041" s="407"/>
      <c r="E4041" s="682"/>
      <c r="F4041" s="1124"/>
      <c r="G4041" s="657"/>
      <c r="H4041" s="649"/>
      <c r="I4041" s="1127"/>
      <c r="J4041" s="764" t="s">
        <v>536</v>
      </c>
      <c r="K4041" s="304">
        <f>AVERAGE(K4027:K4040)</f>
        <v>424.60630390312451</v>
      </c>
      <c r="L4041" s="290" t="s">
        <v>7</v>
      </c>
      <c r="M4041" s="670"/>
      <c r="N4041" s="420"/>
      <c r="O4041"/>
      <c r="P4041" s="412"/>
      <c r="Q4041" s="57"/>
      <c r="R4041" s="393"/>
    </row>
    <row r="4042" spans="1:21" ht="30" customHeight="1" thickBot="1" x14ac:dyDescent="0.3">
      <c r="A4042" s="20"/>
      <c r="B4042" s="503"/>
      <c r="C4042" s="504"/>
      <c r="D4042" s="505"/>
      <c r="E4042" s="465"/>
      <c r="F4042" s="763"/>
      <c r="G4042" s="465"/>
      <c r="H4042" s="764"/>
      <c r="I4042" s="18"/>
      <c r="J4042" s="1571" t="s">
        <v>358</v>
      </c>
      <c r="K4042" s="304">
        <f>+K4041</f>
        <v>424.60630390312451</v>
      </c>
      <c r="L4042" s="290" t="s">
        <v>7</v>
      </c>
      <c r="M4042" s="670"/>
      <c r="N4042" s="420"/>
      <c r="O4042"/>
      <c r="P4042" s="412"/>
      <c r="Q4042" s="57"/>
      <c r="R4042" s="393"/>
    </row>
    <row r="4043" spans="1:21" ht="30" customHeight="1" thickBot="1" x14ac:dyDescent="0.3">
      <c r="A4043" s="76"/>
      <c r="B4043" s="77"/>
      <c r="C4043" s="77"/>
      <c r="D4043" s="77"/>
      <c r="E4043" s="77"/>
      <c r="F4043" s="77"/>
      <c r="G4043" s="77"/>
      <c r="H4043" s="77"/>
      <c r="I4043" s="77"/>
      <c r="J4043" s="77"/>
      <c r="K4043" s="77"/>
      <c r="L4043" s="78"/>
      <c r="M4043" s="419"/>
      <c r="N4043" s="671"/>
      <c r="O4043"/>
      <c r="P4043" s="412"/>
      <c r="Q4043" s="57"/>
      <c r="R4043" s="393"/>
    </row>
    <row r="4044" spans="1:21" ht="30" customHeight="1" x14ac:dyDescent="0.25">
      <c r="A4044" s="30" t="s">
        <v>288</v>
      </c>
      <c r="B4044" s="208">
        <v>8231</v>
      </c>
      <c r="C4044" s="161" t="s">
        <v>2595</v>
      </c>
      <c r="D4044" s="162"/>
      <c r="E4044" s="36" t="s">
        <v>291</v>
      </c>
      <c r="F4044" s="37" t="s">
        <v>223</v>
      </c>
      <c r="G4044" s="123" t="s">
        <v>375</v>
      </c>
      <c r="H4044" s="179">
        <v>9860034</v>
      </c>
      <c r="I4044" s="36" t="s">
        <v>292</v>
      </c>
      <c r="J4044" s="38" t="s">
        <v>883</v>
      </c>
      <c r="K4044" s="38"/>
      <c r="L4044" s="389"/>
      <c r="M4044" s="1493"/>
      <c r="N4044" s="671"/>
      <c r="O4044"/>
      <c r="P4044" s="412"/>
      <c r="Q4044" s="57"/>
      <c r="R4044" s="393"/>
    </row>
    <row r="4045" spans="1:21" ht="30" customHeight="1" x14ac:dyDescent="0.25">
      <c r="A4045" s="48" t="s">
        <v>529</v>
      </c>
      <c r="B4045" s="490" t="s">
        <v>560</v>
      </c>
      <c r="C4045" s="491"/>
      <c r="D4045" s="492"/>
      <c r="E4045" s="793" t="s">
        <v>519</v>
      </c>
      <c r="F4045" s="793" t="s">
        <v>561</v>
      </c>
      <c r="G4045" s="626" t="s">
        <v>562</v>
      </c>
      <c r="H4045" s="627"/>
      <c r="I4045" s="181" t="s">
        <v>530</v>
      </c>
      <c r="J4045" s="44"/>
      <c r="K4045" s="493" t="s">
        <v>521</v>
      </c>
      <c r="L4045" s="494"/>
      <c r="M4045" s="419"/>
      <c r="N4045" s="420"/>
      <c r="O4045"/>
      <c r="P4045" s="412"/>
      <c r="Q4045" s="57"/>
      <c r="R4045" s="393"/>
    </row>
    <row r="4046" spans="1:21" ht="30" customHeight="1" x14ac:dyDescent="0.25">
      <c r="A4046" s="61"/>
      <c r="C4046" s="512"/>
      <c r="D4046" s="513"/>
      <c r="E4046" s="157"/>
      <c r="F4046" s="157"/>
      <c r="G4046" s="1527"/>
      <c r="H4046" s="1528"/>
      <c r="I4046" s="1529"/>
      <c r="J4046" s="61"/>
      <c r="K4046" s="530"/>
      <c r="L4046" s="61"/>
      <c r="M4046" s="419"/>
      <c r="N4046" s="420"/>
      <c r="O4046"/>
      <c r="P4046" s="412"/>
      <c r="Q4046" s="57"/>
      <c r="R4046" s="393"/>
    </row>
    <row r="4047" spans="1:21" s="128" customFormat="1" ht="30" customHeight="1" x14ac:dyDescent="0.25">
      <c r="A4047" s="1299" t="s">
        <v>2596</v>
      </c>
      <c r="B4047" s="716" t="s">
        <v>2597</v>
      </c>
      <c r="C4047" s="717"/>
      <c r="D4047" s="718"/>
      <c r="E4047" s="760">
        <f>+(9550+11400)/2</f>
        <v>10475</v>
      </c>
      <c r="F4047" s="157" t="s">
        <v>11</v>
      </c>
      <c r="G4047" s="792">
        <f>+H4044</f>
        <v>9860034</v>
      </c>
      <c r="H4047" s="758" t="s">
        <v>2598</v>
      </c>
      <c r="I4047" s="20">
        <v>1.06</v>
      </c>
      <c r="J4047" s="61"/>
      <c r="K4047" s="1530">
        <f>+E4047/G4047*I4047</f>
        <v>1.1261117355173421E-3</v>
      </c>
      <c r="L4047" s="157" t="s">
        <v>223</v>
      </c>
      <c r="M4047" s="380"/>
      <c r="N4047" s="420"/>
      <c r="O4047" s="1499"/>
      <c r="P4047" s="925"/>
      <c r="Q4047" s="925"/>
      <c r="R4047" s="925"/>
      <c r="S4047" s="60"/>
      <c r="T4047" s="60"/>
      <c r="U4047" s="925"/>
    </row>
    <row r="4048" spans="1:21" s="1533" customFormat="1" ht="30" customHeight="1" x14ac:dyDescent="0.25">
      <c r="A4048" s="1299" t="s">
        <v>634</v>
      </c>
      <c r="B4048" s="716" t="s">
        <v>2599</v>
      </c>
      <c r="C4048" s="717"/>
      <c r="D4048" s="718"/>
      <c r="E4048" s="760">
        <v>288000</v>
      </c>
      <c r="F4048" s="157" t="s">
        <v>11</v>
      </c>
      <c r="G4048" s="792">
        <f>+H4044</f>
        <v>9860034</v>
      </c>
      <c r="H4048" s="758" t="s">
        <v>2598</v>
      </c>
      <c r="I4048" s="20">
        <v>1.04</v>
      </c>
      <c r="J4048" s="61"/>
      <c r="K4048" s="1531">
        <f>+E4048/G4048*I4048</f>
        <v>3.0377177198374773E-2</v>
      </c>
      <c r="L4048" s="157" t="s">
        <v>223</v>
      </c>
      <c r="M4048" s="380"/>
      <c r="N4048" s="420"/>
      <c r="O4048" s="1499"/>
      <c r="P4048" s="1532"/>
      <c r="Q4048" s="1532"/>
      <c r="R4048" s="1532"/>
      <c r="S4048" s="212"/>
      <c r="T4048" s="212"/>
      <c r="U4048" s="1532"/>
    </row>
    <row r="4049" spans="1:21" s="1533" customFormat="1" ht="30" customHeight="1" x14ac:dyDescent="0.25">
      <c r="A4049" s="1299" t="s">
        <v>2616</v>
      </c>
      <c r="B4049" s="716" t="s">
        <v>3392</v>
      </c>
      <c r="C4049" s="717"/>
      <c r="D4049" s="718"/>
      <c r="E4049" s="760">
        <v>39.880000000000003</v>
      </c>
      <c r="F4049" s="157" t="s">
        <v>576</v>
      </c>
      <c r="G4049" s="792">
        <f>+H4044</f>
        <v>9860034</v>
      </c>
      <c r="H4049" s="758" t="s">
        <v>3393</v>
      </c>
      <c r="I4049" s="20">
        <v>1.06</v>
      </c>
      <c r="J4049" s="61"/>
      <c r="K4049" s="1530">
        <f>+E4049*520/G4049*I4049</f>
        <v>2.2293894726935024E-3</v>
      </c>
      <c r="L4049" s="157" t="s">
        <v>223</v>
      </c>
      <c r="M4049" s="660"/>
      <c r="N4049" s="420"/>
      <c r="O4049" s="1499"/>
      <c r="P4049" s="1532"/>
      <c r="Q4049" s="1532"/>
      <c r="R4049" s="1532"/>
      <c r="S4049" s="212"/>
      <c r="T4049" s="212"/>
      <c r="U4049" s="1532"/>
    </row>
    <row r="4050" spans="1:21" s="1533" customFormat="1" ht="30" customHeight="1" x14ac:dyDescent="0.25">
      <c r="A4050" s="1299" t="s">
        <v>2616</v>
      </c>
      <c r="B4050" s="716" t="s">
        <v>3394</v>
      </c>
      <c r="C4050" s="717"/>
      <c r="D4050" s="718"/>
      <c r="E4050" s="760">
        <v>7700</v>
      </c>
      <c r="F4050" s="157" t="s">
        <v>11</v>
      </c>
      <c r="G4050" s="792">
        <f>+H4044</f>
        <v>9860034</v>
      </c>
      <c r="H4050" s="758" t="s">
        <v>3393</v>
      </c>
      <c r="I4050" s="20">
        <v>1.06</v>
      </c>
      <c r="J4050" s="61"/>
      <c r="K4050" s="1530">
        <f>+E4050*4/G4050*I4050</f>
        <v>3.3111447688719937E-3</v>
      </c>
      <c r="L4050" s="157" t="s">
        <v>223</v>
      </c>
      <c r="M4050" s="660"/>
      <c r="N4050" s="420"/>
      <c r="O4050" s="1499"/>
      <c r="P4050" s="1532"/>
      <c r="Q4050" s="1532"/>
      <c r="R4050" s="1532"/>
      <c r="S4050" s="212"/>
      <c r="T4050" s="212"/>
      <c r="U4050" s="1532"/>
    </row>
    <row r="4051" spans="1:21" s="128" customFormat="1" ht="30" customHeight="1" x14ac:dyDescent="0.25">
      <c r="A4051" s="1334"/>
      <c r="B4051" s="62"/>
      <c r="C4051" s="62"/>
      <c r="D4051" s="62"/>
      <c r="E4051" s="530"/>
      <c r="F4051" s="61"/>
      <c r="G4051" s="61"/>
      <c r="H4051" s="61"/>
      <c r="I4051" s="61"/>
      <c r="J4051" s="61" t="s">
        <v>578</v>
      </c>
      <c r="K4051" s="530">
        <f>SUM(K4047:K4048)</f>
        <v>3.1503288933892114E-2</v>
      </c>
      <c r="L4051" s="157" t="s">
        <v>223</v>
      </c>
      <c r="M4051" s="419"/>
      <c r="N4051" s="420"/>
      <c r="O4051" s="1499"/>
      <c r="P4051" s="925"/>
      <c r="Q4051" s="925"/>
      <c r="R4051" s="925"/>
      <c r="S4051" s="60"/>
      <c r="T4051" s="60"/>
      <c r="U4051" s="925"/>
    </row>
    <row r="4052" spans="1:21" s="128" customFormat="1" ht="30" customHeight="1" x14ac:dyDescent="0.25">
      <c r="A4052" s="61"/>
      <c r="B4052" s="498"/>
      <c r="C4052" s="498"/>
      <c r="D4052" s="498"/>
      <c r="E4052" s="530"/>
      <c r="F4052" s="676" t="s">
        <v>533</v>
      </c>
      <c r="G4052" s="339" t="s">
        <v>534</v>
      </c>
      <c r="H4052" s="339"/>
      <c r="I4052" s="339"/>
      <c r="J4052" s="339"/>
      <c r="K4052" s="340">
        <v>1.07</v>
      </c>
      <c r="L4052" s="24"/>
      <c r="M4052" s="419"/>
      <c r="N4052" s="420"/>
      <c r="O4052" s="1499"/>
      <c r="P4052" s="925"/>
      <c r="Q4052" s="925"/>
      <c r="R4052" s="925"/>
      <c r="S4052" s="60"/>
      <c r="T4052" s="60"/>
      <c r="U4052" s="925"/>
    </row>
    <row r="4053" spans="1:21" s="128" customFormat="1" ht="30" customHeight="1" x14ac:dyDescent="0.25">
      <c r="A4053" s="61"/>
      <c r="B4053" s="498"/>
      <c r="C4053" s="498"/>
      <c r="D4053" s="498"/>
      <c r="E4053" s="530"/>
      <c r="F4053" s="678"/>
      <c r="G4053" s="344" t="s">
        <v>535</v>
      </c>
      <c r="H4053" s="344"/>
      <c r="I4053" s="344"/>
      <c r="J4053" s="344"/>
      <c r="K4053" s="340">
        <v>1.02</v>
      </c>
      <c r="L4053" s="24"/>
      <c r="M4053" s="419"/>
      <c r="N4053" s="420"/>
      <c r="O4053" s="1499"/>
      <c r="P4053" s="925"/>
      <c r="Q4053" s="925"/>
      <c r="R4053" s="925"/>
      <c r="S4053" s="60"/>
      <c r="T4053" s="60"/>
      <c r="U4053" s="925"/>
    </row>
    <row r="4054" spans="1:21" s="128" customFormat="1" ht="30" customHeight="1" x14ac:dyDescent="0.25">
      <c r="A4054" s="61"/>
      <c r="B4054" s="605"/>
      <c r="C4054" s="605"/>
      <c r="D4054" s="605"/>
      <c r="E4054" s="20"/>
      <c r="F4054" s="20" t="s">
        <v>9</v>
      </c>
      <c r="G4054" s="18"/>
      <c r="H4054" s="18"/>
      <c r="I4054" s="18"/>
      <c r="J4054" s="18" t="s">
        <v>358</v>
      </c>
      <c r="K4054" s="23">
        <f>+K4051*K4052/K4053</f>
        <v>3.3047567803200555E-2</v>
      </c>
      <c r="L4054" s="157" t="s">
        <v>223</v>
      </c>
      <c r="M4054" s="1330"/>
      <c r="N4054" s="420"/>
      <c r="O4054" s="1499"/>
      <c r="P4054" s="925"/>
      <c r="Q4054" s="925"/>
      <c r="R4054" s="925"/>
      <c r="S4054" s="60"/>
      <c r="T4054" s="60"/>
      <c r="U4054" s="925"/>
    </row>
    <row r="4055" spans="1:21" s="128" customFormat="1" ht="30" customHeight="1" thickBot="1" x14ac:dyDescent="0.3">
      <c r="A4055" s="61"/>
      <c r="B4055" s="64"/>
      <c r="C4055" s="498"/>
      <c r="D4055" s="136"/>
      <c r="E4055" s="1875"/>
      <c r="F4055" s="63"/>
      <c r="G4055" s="413" t="s">
        <v>537</v>
      </c>
      <c r="H4055" s="18"/>
      <c r="I4055" s="18"/>
      <c r="J4055" s="361">
        <f>VLOOKUP(B4044,'Mil Cost Premiums for RUCs'!$A$4:$R$265,18,FALSE)</f>
        <v>1.0905505199999999</v>
      </c>
      <c r="K4055" s="23">
        <f>+K4054*J4055</f>
        <v>3.6040042252515621E-2</v>
      </c>
      <c r="L4055" s="157" t="s">
        <v>223</v>
      </c>
      <c r="M4055" s="1330"/>
      <c r="N4055" s="420"/>
      <c r="O4055" s="1499"/>
      <c r="P4055" s="925"/>
      <c r="Q4055" s="925"/>
      <c r="R4055" s="925"/>
      <c r="S4055" s="60"/>
      <c r="T4055" s="60"/>
      <c r="U4055" s="925"/>
    </row>
    <row r="4056" spans="1:21" s="128" customFormat="1" ht="30" customHeight="1" thickBot="1" x14ac:dyDescent="0.3">
      <c r="A4056" s="76"/>
      <c r="B4056" s="77"/>
      <c r="C4056" s="77"/>
      <c r="D4056" s="77"/>
      <c r="E4056" s="77"/>
      <c r="F4056" s="77"/>
      <c r="G4056" s="77"/>
      <c r="H4056" s="77"/>
      <c r="I4056" s="77"/>
      <c r="J4056" s="77"/>
      <c r="K4056" s="77"/>
      <c r="L4056" s="78"/>
      <c r="M4056" s="25"/>
      <c r="N4056" s="420"/>
      <c r="O4056" s="1499"/>
      <c r="P4056" s="925"/>
      <c r="Q4056" s="925"/>
      <c r="R4056" s="925"/>
      <c r="S4056" s="60"/>
      <c r="T4056" s="60"/>
      <c r="U4056" s="925"/>
    </row>
    <row r="4057" spans="1:21" s="128" customFormat="1" ht="30" customHeight="1" x14ac:dyDescent="0.25">
      <c r="A4057" s="30" t="s">
        <v>288</v>
      </c>
      <c r="B4057" s="208">
        <v>8232</v>
      </c>
      <c r="C4057" s="209" t="s">
        <v>2600</v>
      </c>
      <c r="D4057" s="210"/>
      <c r="E4057" s="177" t="s">
        <v>291</v>
      </c>
      <c r="F4057" s="178" t="s">
        <v>11</v>
      </c>
      <c r="G4057" s="465" t="s">
        <v>290</v>
      </c>
      <c r="H4057" s="179">
        <v>1</v>
      </c>
      <c r="I4057" s="177" t="s">
        <v>292</v>
      </c>
      <c r="J4057" s="38" t="s">
        <v>883</v>
      </c>
      <c r="K4057" s="38"/>
      <c r="L4057" s="389"/>
      <c r="M4057" s="502"/>
      <c r="N4057" s="420"/>
      <c r="O4057" s="27"/>
      <c r="P4057" s="43"/>
      <c r="Q4057" s="43"/>
      <c r="R4057" s="43"/>
      <c r="S4057" s="60"/>
      <c r="T4057" s="60"/>
      <c r="U4057" s="925"/>
    </row>
    <row r="4058" spans="1:21" s="128" customFormat="1" ht="30" customHeight="1" x14ac:dyDescent="0.25">
      <c r="A4058" s="48" t="s">
        <v>529</v>
      </c>
      <c r="B4058" s="394" t="s">
        <v>560</v>
      </c>
      <c r="C4058" s="395"/>
      <c r="D4058" s="396"/>
      <c r="E4058" s="397" t="s">
        <v>519</v>
      </c>
      <c r="F4058" s="397" t="s">
        <v>561</v>
      </c>
      <c r="G4058" s="398" t="s">
        <v>562</v>
      </c>
      <c r="H4058" s="399"/>
      <c r="I4058" s="181" t="s">
        <v>530</v>
      </c>
      <c r="J4058" s="181"/>
      <c r="K4058" s="493" t="s">
        <v>521</v>
      </c>
      <c r="L4058" s="494"/>
      <c r="M4058" s="556"/>
      <c r="N4058" s="556"/>
      <c r="O4058" s="27"/>
      <c r="P4058" s="43"/>
      <c r="Q4058" s="43"/>
      <c r="R4058" s="43"/>
      <c r="S4058" s="60"/>
      <c r="T4058" s="60"/>
      <c r="U4058" s="925"/>
    </row>
    <row r="4059" spans="1:21" ht="30" customHeight="1" x14ac:dyDescent="0.25">
      <c r="A4059" s="61" t="s">
        <v>634</v>
      </c>
      <c r="B4059" s="191" t="s">
        <v>2601</v>
      </c>
      <c r="C4059" s="191"/>
      <c r="D4059" s="191"/>
      <c r="E4059" s="405">
        <v>94000</v>
      </c>
      <c r="F4059" s="730" t="s">
        <v>11</v>
      </c>
      <c r="G4059" s="1534"/>
      <c r="H4059" s="649"/>
      <c r="I4059" s="649">
        <v>1.04</v>
      </c>
      <c r="J4059" s="20"/>
      <c r="K4059" s="405">
        <f>+E4059*I4059</f>
        <v>97760</v>
      </c>
      <c r="L4059" s="20" t="s">
        <v>11</v>
      </c>
      <c r="M4059" s="556"/>
      <c r="N4059" s="1315"/>
      <c r="O4059" s="42"/>
      <c r="P4059" s="41"/>
      <c r="Q4059" s="41"/>
      <c r="R4059" s="41"/>
      <c r="S4059" s="41"/>
      <c r="T4059" s="41"/>
      <c r="U4059" s="43"/>
    </row>
    <row r="4060" spans="1:21" ht="30" customHeight="1" x14ac:dyDescent="0.25">
      <c r="A4060" s="61"/>
      <c r="B4060" s="410"/>
      <c r="C4060" s="410"/>
      <c r="D4060" s="410"/>
      <c r="E4060" s="405"/>
      <c r="F4060" s="338" t="s">
        <v>533</v>
      </c>
      <c r="G4060" s="339" t="s">
        <v>534</v>
      </c>
      <c r="H4060" s="339"/>
      <c r="I4060" s="339"/>
      <c r="J4060" s="339"/>
      <c r="K4060" s="340">
        <v>1.07</v>
      </c>
      <c r="L4060" s="10"/>
      <c r="M4060" s="556"/>
      <c r="N4060" s="556"/>
      <c r="O4060" s="42"/>
      <c r="P4060" s="41"/>
      <c r="Q4060" s="41"/>
      <c r="R4060" s="41"/>
      <c r="S4060" s="41"/>
      <c r="T4060" s="41"/>
      <c r="U4060" s="43"/>
    </row>
    <row r="4061" spans="1:21" s="41" customFormat="1" ht="30" customHeight="1" x14ac:dyDescent="0.25">
      <c r="A4061" s="61"/>
      <c r="B4061" s="410"/>
      <c r="C4061" s="410"/>
      <c r="D4061" s="410"/>
      <c r="E4061" s="405"/>
      <c r="F4061" s="343"/>
      <c r="G4061" s="344" t="s">
        <v>535</v>
      </c>
      <c r="H4061" s="344"/>
      <c r="I4061" s="344"/>
      <c r="J4061" s="344"/>
      <c r="K4061" s="340">
        <v>1.02</v>
      </c>
      <c r="L4061" s="10"/>
      <c r="M4061" s="556"/>
      <c r="N4061" s="556"/>
      <c r="O4061" s="42"/>
    </row>
    <row r="4062" spans="1:21" s="41" customFormat="1" ht="30" customHeight="1" x14ac:dyDescent="0.25">
      <c r="A4062" s="61"/>
      <c r="B4062" s="20"/>
      <c r="C4062" s="18"/>
      <c r="D4062" s="18"/>
      <c r="E4062" s="18"/>
      <c r="F4062" s="18"/>
      <c r="G4062" s="18"/>
      <c r="H4062" s="18"/>
      <c r="I4062" s="18"/>
      <c r="J4062" s="20" t="s">
        <v>358</v>
      </c>
      <c r="K4062" s="23">
        <f>+K4059*K4060/K4061</f>
        <v>102552.15686274511</v>
      </c>
      <c r="L4062" s="20" t="s">
        <v>11</v>
      </c>
      <c r="M4062" s="556"/>
      <c r="N4062" s="556"/>
      <c r="O4062" s="27"/>
      <c r="P4062"/>
      <c r="Q4062"/>
      <c r="R4062"/>
      <c r="S4062"/>
      <c r="T4062"/>
    </row>
    <row r="4063" spans="1:21" s="41" customFormat="1" ht="30" customHeight="1" thickBot="1" x14ac:dyDescent="0.3">
      <c r="A4063" s="61"/>
      <c r="B4063" s="20"/>
      <c r="C4063" s="18"/>
      <c r="D4063" s="18"/>
      <c r="E4063" s="18"/>
      <c r="F4063" s="18"/>
      <c r="G4063" s="413" t="s">
        <v>537</v>
      </c>
      <c r="H4063" s="18"/>
      <c r="I4063" s="18"/>
      <c r="J4063" s="361">
        <f>VLOOKUP(B4057,'Mil Cost Premiums for RUCs'!$A$4:$R$265,18,FALSE)</f>
        <v>1.0905505199999999</v>
      </c>
      <c r="K4063" s="23">
        <f>+K4062*J4063</f>
        <v>111838.30799378823</v>
      </c>
      <c r="L4063" s="20" t="s">
        <v>11</v>
      </c>
      <c r="M4063" s="556"/>
      <c r="N4063" s="556"/>
      <c r="O4063" s="27"/>
      <c r="P4063"/>
      <c r="Q4063"/>
      <c r="R4063"/>
      <c r="S4063"/>
      <c r="T4063"/>
    </row>
    <row r="4064" spans="1:21" s="41" customFormat="1" ht="30" customHeight="1" thickBot="1" x14ac:dyDescent="0.3">
      <c r="A4064" s="76"/>
      <c r="B4064" s="77"/>
      <c r="C4064" s="77"/>
      <c r="D4064" s="77"/>
      <c r="E4064" s="77"/>
      <c r="F4064" s="77"/>
      <c r="G4064" s="77"/>
      <c r="H4064" s="77"/>
      <c r="I4064" s="77"/>
      <c r="J4064" s="77"/>
      <c r="K4064" s="77"/>
      <c r="L4064" s="78"/>
      <c r="M4064" s="341"/>
      <c r="N4064" s="556"/>
      <c r="O4064" s="42"/>
      <c r="P4064"/>
      <c r="Q4064"/>
      <c r="R4064"/>
      <c r="S4064"/>
      <c r="T4064"/>
    </row>
    <row r="4065" spans="1:20" ht="30" customHeight="1" x14ac:dyDescent="0.25">
      <c r="A4065" s="30" t="s">
        <v>288</v>
      </c>
      <c r="B4065" s="208">
        <v>8241</v>
      </c>
      <c r="C4065" s="209" t="s">
        <v>2602</v>
      </c>
      <c r="D4065" s="210"/>
      <c r="E4065" s="177" t="s">
        <v>291</v>
      </c>
      <c r="F4065" s="178" t="s">
        <v>7</v>
      </c>
      <c r="G4065" s="123" t="s">
        <v>375</v>
      </c>
      <c r="H4065" s="179">
        <v>8830</v>
      </c>
      <c r="I4065" s="177" t="s">
        <v>292</v>
      </c>
      <c r="J4065" s="38" t="s">
        <v>883</v>
      </c>
      <c r="K4065" s="38"/>
      <c r="L4065" s="389"/>
      <c r="M4065" s="556"/>
      <c r="N4065" s="556"/>
      <c r="P4065" s="43"/>
      <c r="Q4065" s="43"/>
      <c r="R4065" s="43"/>
      <c r="S4065" s="60"/>
      <c r="T4065" s="60"/>
    </row>
    <row r="4066" spans="1:20" ht="30" customHeight="1" x14ac:dyDescent="0.25">
      <c r="A4066" s="48" t="s">
        <v>529</v>
      </c>
      <c r="B4066" s="394" t="s">
        <v>560</v>
      </c>
      <c r="C4066" s="395"/>
      <c r="D4066" s="396"/>
      <c r="E4066" s="397" t="s">
        <v>519</v>
      </c>
      <c r="F4066" s="397" t="s">
        <v>561</v>
      </c>
      <c r="G4066" s="398" t="s">
        <v>562</v>
      </c>
      <c r="H4066" s="399"/>
      <c r="I4066" s="181" t="s">
        <v>530</v>
      </c>
      <c r="J4066" s="181"/>
      <c r="K4066" s="493" t="s">
        <v>521</v>
      </c>
      <c r="L4066" s="494"/>
      <c r="M4066" s="556"/>
      <c r="N4066" s="1491"/>
      <c r="P4066" s="43"/>
      <c r="Q4066" s="43"/>
      <c r="R4066" s="43"/>
      <c r="S4066" s="60"/>
      <c r="T4066" s="60"/>
    </row>
    <row r="4067" spans="1:20" ht="30" customHeight="1" x14ac:dyDescent="0.25">
      <c r="A4067" s="61" t="s">
        <v>574</v>
      </c>
      <c r="B4067" s="503" t="s">
        <v>2603</v>
      </c>
      <c r="C4067" s="504"/>
      <c r="D4067" s="505"/>
      <c r="E4067" s="760">
        <v>18.39</v>
      </c>
      <c r="F4067" s="22" t="s">
        <v>7</v>
      </c>
      <c r="G4067" s="1112"/>
      <c r="H4067" s="758"/>
      <c r="I4067" s="20">
        <v>1.04</v>
      </c>
      <c r="J4067" s="20"/>
      <c r="K4067" s="760">
        <f>+E4067*I4067</f>
        <v>19.125600000000002</v>
      </c>
      <c r="L4067" s="22" t="s">
        <v>7</v>
      </c>
      <c r="M4067" s="556"/>
      <c r="N4067" s="556"/>
      <c r="O4067"/>
      <c r="P4067" s="412"/>
      <c r="Q4067" s="391"/>
      <c r="R4067" s="393"/>
    </row>
    <row r="4068" spans="1:20" ht="30" customHeight="1" x14ac:dyDescent="0.25">
      <c r="A4068" s="61" t="s">
        <v>574</v>
      </c>
      <c r="B4068" s="503" t="s">
        <v>2604</v>
      </c>
      <c r="C4068" s="504"/>
      <c r="D4068" s="505"/>
      <c r="E4068" s="760">
        <v>18.170000000000002</v>
      </c>
      <c r="F4068" s="22" t="s">
        <v>7</v>
      </c>
      <c r="G4068" s="1535"/>
      <c r="H4068" s="758"/>
      <c r="I4068" s="20">
        <v>1.04</v>
      </c>
      <c r="J4068" s="20"/>
      <c r="K4068" s="760">
        <f>+E4068*I4068</f>
        <v>18.896800000000002</v>
      </c>
      <c r="L4068" s="22" t="s">
        <v>7</v>
      </c>
      <c r="O4068"/>
      <c r="P4068" s="412"/>
      <c r="Q4068" s="391"/>
      <c r="R4068" s="393"/>
    </row>
    <row r="4069" spans="1:20" ht="30" customHeight="1" x14ac:dyDescent="0.25">
      <c r="A4069" s="1334"/>
      <c r="B4069" s="186"/>
      <c r="C4069" s="186"/>
      <c r="D4069" s="186"/>
      <c r="E4069" s="405"/>
      <c r="F4069" s="20"/>
      <c r="G4069" s="20"/>
      <c r="H4069" s="20"/>
      <c r="I4069" s="20"/>
      <c r="J4069" s="20" t="s">
        <v>536</v>
      </c>
      <c r="K4069" s="405">
        <f>AVERAGE(K4067:K4068)</f>
        <v>19.011200000000002</v>
      </c>
      <c r="L4069" s="20" t="s">
        <v>7</v>
      </c>
      <c r="M4069" s="341"/>
      <c r="Q4069" s="391"/>
      <c r="R4069" s="393"/>
    </row>
    <row r="4070" spans="1:20" s="49" customFormat="1" ht="30" customHeight="1" x14ac:dyDescent="0.25">
      <c r="A4070" s="61"/>
      <c r="B4070" s="410"/>
      <c r="C4070" s="410"/>
      <c r="D4070" s="410"/>
      <c r="E4070" s="405"/>
      <c r="F4070" s="338" t="s">
        <v>533</v>
      </c>
      <c r="G4070" s="339" t="s">
        <v>534</v>
      </c>
      <c r="H4070" s="339"/>
      <c r="I4070" s="339"/>
      <c r="J4070" s="339"/>
      <c r="K4070" s="340">
        <v>1.07</v>
      </c>
      <c r="L4070" s="10"/>
      <c r="M4070" s="341"/>
      <c r="N4070" s="342"/>
      <c r="Q4070" s="391"/>
      <c r="R4070" s="393"/>
    </row>
    <row r="4071" spans="1:20" ht="30" customHeight="1" x14ac:dyDescent="0.25">
      <c r="A4071" s="61"/>
      <c r="B4071" s="410"/>
      <c r="C4071" s="410"/>
      <c r="D4071" s="410"/>
      <c r="E4071" s="405"/>
      <c r="F4071" s="343"/>
      <c r="G4071" s="344" t="s">
        <v>535</v>
      </c>
      <c r="H4071" s="344"/>
      <c r="I4071" s="344"/>
      <c r="J4071" s="344"/>
      <c r="K4071" s="340">
        <v>1.02</v>
      </c>
      <c r="L4071" s="10"/>
      <c r="N4071" s="342"/>
      <c r="O4071"/>
      <c r="P4071" s="412"/>
      <c r="Q4071" s="391"/>
      <c r="R4071" s="393"/>
    </row>
    <row r="4072" spans="1:20" ht="30" customHeight="1" x14ac:dyDescent="0.25">
      <c r="A4072" s="61"/>
      <c r="B4072" s="20"/>
      <c r="C4072" s="18"/>
      <c r="D4072" s="18"/>
      <c r="E4072" s="18"/>
      <c r="F4072" s="18"/>
      <c r="G4072" s="18"/>
      <c r="H4072" s="18"/>
      <c r="I4072" s="18"/>
      <c r="J4072" s="20" t="s">
        <v>358</v>
      </c>
      <c r="K4072" s="23">
        <f>+K4069*K4070/K4071</f>
        <v>19.943121568627454</v>
      </c>
      <c r="L4072" s="20" t="s">
        <v>7</v>
      </c>
      <c r="N4072" s="342"/>
      <c r="O4072" s="1536"/>
      <c r="P4072" s="412"/>
      <c r="Q4072" s="391"/>
      <c r="R4072" s="393"/>
      <c r="S4072" s="128"/>
    </row>
    <row r="4073" spans="1:20" ht="30" customHeight="1" thickBot="1" x14ac:dyDescent="0.3">
      <c r="A4073" s="61"/>
      <c r="B4073" s="20"/>
      <c r="C4073" s="18"/>
      <c r="D4073" s="18"/>
      <c r="E4073" s="18"/>
      <c r="F4073" s="18"/>
      <c r="G4073" s="413" t="s">
        <v>537</v>
      </c>
      <c r="H4073" s="18"/>
      <c r="I4073" s="18"/>
      <c r="J4073" s="361">
        <f>VLOOKUP(B4065,'Mil Cost Premiums for RUCs'!$A$4:$R$265,18,FALSE)</f>
        <v>1.0905505199999999</v>
      </c>
      <c r="K4073" s="23">
        <f>+K4072*J4073</f>
        <v>21.748981597089884</v>
      </c>
      <c r="L4073" s="20" t="s">
        <v>7</v>
      </c>
      <c r="M4073" s="341"/>
      <c r="O4073"/>
      <c r="P4073" s="412"/>
      <c r="Q4073" s="391"/>
      <c r="R4073" s="393"/>
      <c r="S4073" s="128"/>
    </row>
    <row r="4074" spans="1:20" s="128" customFormat="1" ht="30" customHeight="1" thickBot="1" x14ac:dyDescent="0.3">
      <c r="A4074" s="76"/>
      <c r="B4074" s="77"/>
      <c r="C4074" s="77"/>
      <c r="D4074" s="77"/>
      <c r="E4074" s="77"/>
      <c r="F4074" s="77"/>
      <c r="G4074" s="77"/>
      <c r="H4074" s="77"/>
      <c r="I4074" s="77"/>
      <c r="J4074" s="77"/>
      <c r="K4074" s="77"/>
      <c r="L4074" s="78"/>
      <c r="M4074" s="25"/>
      <c r="N4074" s="25"/>
      <c r="O4074"/>
      <c r="P4074" s="412"/>
      <c r="Q4074" s="391"/>
      <c r="R4074" s="393"/>
      <c r="S4074"/>
    </row>
    <row r="4075" spans="1:20" s="128" customFormat="1" ht="30" customHeight="1" x14ac:dyDescent="0.25">
      <c r="A4075" s="306" t="s">
        <v>288</v>
      </c>
      <c r="B4075" s="418">
        <v>8261</v>
      </c>
      <c r="C4075" s="415" t="s">
        <v>2605</v>
      </c>
      <c r="D4075" s="416"/>
      <c r="E4075" s="540" t="s">
        <v>291</v>
      </c>
      <c r="F4075" s="541" t="s">
        <v>228</v>
      </c>
      <c r="G4075" s="123" t="s">
        <v>375</v>
      </c>
      <c r="H4075" s="600">
        <v>827</v>
      </c>
      <c r="I4075" s="540" t="s">
        <v>292</v>
      </c>
      <c r="J4075" s="38" t="s">
        <v>883</v>
      </c>
      <c r="K4075" s="38"/>
      <c r="L4075" s="389"/>
      <c r="M4075" s="25"/>
      <c r="N4075" s="25"/>
      <c r="O4075"/>
      <c r="P4075" s="412"/>
      <c r="Q4075" s="391"/>
      <c r="R4075" s="393"/>
      <c r="S4075"/>
    </row>
    <row r="4076" spans="1:20" s="128" customFormat="1" ht="30" customHeight="1" x14ac:dyDescent="0.25">
      <c r="A4076" s="695" t="s">
        <v>529</v>
      </c>
      <c r="B4076" s="543" t="s">
        <v>560</v>
      </c>
      <c r="C4076" s="544"/>
      <c r="D4076" s="545"/>
      <c r="E4076" s="546" t="s">
        <v>519</v>
      </c>
      <c r="F4076" s="546" t="s">
        <v>561</v>
      </c>
      <c r="G4076" s="547" t="s">
        <v>562</v>
      </c>
      <c r="H4076" s="548"/>
      <c r="I4076" s="424" t="s">
        <v>530</v>
      </c>
      <c r="J4076" s="424"/>
      <c r="K4076" s="493" t="s">
        <v>521</v>
      </c>
      <c r="L4076" s="494"/>
      <c r="M4076" s="1881"/>
      <c r="N4076" s="1270"/>
      <c r="O4076"/>
      <c r="P4076" s="412"/>
      <c r="Q4076" s="391"/>
      <c r="R4076" s="393"/>
      <c r="S4076"/>
    </row>
    <row r="4077" spans="1:20" ht="30" customHeight="1" x14ac:dyDescent="0.25">
      <c r="A4077" s="24" t="s">
        <v>2606</v>
      </c>
      <c r="B4077" s="426" t="s">
        <v>2607</v>
      </c>
      <c r="C4077" s="427"/>
      <c r="D4077" s="428"/>
      <c r="E4077" s="700">
        <v>4575</v>
      </c>
      <c r="F4077" s="5" t="s">
        <v>228</v>
      </c>
      <c r="G4077" s="697"/>
      <c r="H4077" s="698"/>
      <c r="I4077" s="10">
        <v>1.03</v>
      </c>
      <c r="J4077" s="10"/>
      <c r="K4077" s="700">
        <f>+E4077*I4077</f>
        <v>4712.25</v>
      </c>
      <c r="L4077" s="5" t="s">
        <v>228</v>
      </c>
      <c r="M4077" s="1881"/>
      <c r="N4077" s="1270"/>
      <c r="O4077" s="43"/>
      <c r="P4077" s="672"/>
      <c r="Q4077" s="671"/>
      <c r="R4077" s="673"/>
    </row>
    <row r="4078" spans="1:20" ht="30" customHeight="1" x14ac:dyDescent="0.25">
      <c r="A4078" s="24" t="s">
        <v>2606</v>
      </c>
      <c r="B4078" s="426" t="s">
        <v>2608</v>
      </c>
      <c r="C4078" s="427"/>
      <c r="D4078" s="428"/>
      <c r="E4078" s="700">
        <v>4425</v>
      </c>
      <c r="F4078" s="5" t="s">
        <v>228</v>
      </c>
      <c r="G4078" s="1518"/>
      <c r="H4078" s="698"/>
      <c r="I4078" s="10">
        <v>1.03</v>
      </c>
      <c r="J4078" s="10"/>
      <c r="K4078" s="700">
        <f>+E4078*I4078</f>
        <v>4557.75</v>
      </c>
      <c r="L4078" s="5" t="s">
        <v>228</v>
      </c>
      <c r="M4078" s="419"/>
      <c r="N4078" s="1537"/>
      <c r="O4078" s="43"/>
      <c r="P4078" s="672"/>
      <c r="Q4078" s="671"/>
      <c r="R4078" s="673"/>
    </row>
    <row r="4079" spans="1:20" ht="30" customHeight="1" x14ac:dyDescent="0.25">
      <c r="A4079" s="1538"/>
      <c r="B4079" s="551"/>
      <c r="C4079" s="551"/>
      <c r="D4079" s="551"/>
      <c r="E4079" s="326"/>
      <c r="F4079" s="10"/>
      <c r="G4079" s="10"/>
      <c r="H4079" s="10"/>
      <c r="I4079" s="10"/>
      <c r="J4079" s="10" t="s">
        <v>536</v>
      </c>
      <c r="K4079" s="326">
        <f>AVERAGE(K4077:K4078)</f>
        <v>4635</v>
      </c>
      <c r="L4079" s="10" t="s">
        <v>228</v>
      </c>
      <c r="M4079" s="1157"/>
      <c r="N4079" s="1537"/>
      <c r="O4079"/>
      <c r="P4079" s="412"/>
      <c r="Q4079" s="391"/>
      <c r="R4079" s="393"/>
    </row>
    <row r="4080" spans="1:20" ht="30" customHeight="1" x14ac:dyDescent="0.25">
      <c r="A4080" s="61"/>
      <c r="B4080" s="410"/>
      <c r="C4080" s="410"/>
      <c r="D4080" s="410"/>
      <c r="E4080" s="405"/>
      <c r="F4080" s="338" t="s">
        <v>533</v>
      </c>
      <c r="G4080" s="339" t="s">
        <v>534</v>
      </c>
      <c r="H4080" s="339"/>
      <c r="I4080" s="339"/>
      <c r="J4080" s="339"/>
      <c r="K4080" s="340">
        <v>1.07</v>
      </c>
      <c r="L4080" s="10"/>
      <c r="M4080" s="1157"/>
      <c r="N4080" s="420"/>
      <c r="O4080"/>
      <c r="P4080" s="412"/>
      <c r="Q4080" s="391"/>
      <c r="R4080" s="393"/>
    </row>
    <row r="4081" spans="1:19" ht="30" customHeight="1" x14ac:dyDescent="0.25">
      <c r="A4081" s="61"/>
      <c r="B4081" s="410"/>
      <c r="C4081" s="410"/>
      <c r="D4081" s="410"/>
      <c r="E4081" s="405"/>
      <c r="F4081" s="343"/>
      <c r="G4081" s="344" t="s">
        <v>535</v>
      </c>
      <c r="H4081" s="344"/>
      <c r="I4081" s="344"/>
      <c r="J4081" s="344"/>
      <c r="K4081" s="340">
        <v>1.02</v>
      </c>
      <c r="L4081" s="10"/>
      <c r="M4081" s="419"/>
      <c r="N4081" s="1356"/>
      <c r="O4081"/>
      <c r="P4081" s="412"/>
      <c r="Q4081" s="391"/>
      <c r="R4081" s="393"/>
    </row>
    <row r="4082" spans="1:19" ht="30" customHeight="1" x14ac:dyDescent="0.25">
      <c r="A4082" s="24"/>
      <c r="B4082" s="10"/>
      <c r="C4082" s="13"/>
      <c r="D4082" s="13"/>
      <c r="E4082" s="13"/>
      <c r="F4082" s="13"/>
      <c r="G4082" s="13"/>
      <c r="H4082" s="13"/>
      <c r="I4082" s="13"/>
      <c r="J4082" s="10" t="s">
        <v>358</v>
      </c>
      <c r="K4082" s="14">
        <f>+K4079*K4080/K4081</f>
        <v>4862.2058823529414</v>
      </c>
      <c r="L4082" s="10" t="s">
        <v>228</v>
      </c>
      <c r="M4082" s="419"/>
      <c r="N4082" s="1356"/>
      <c r="O4082"/>
      <c r="P4082" s="412"/>
      <c r="Q4082" s="391"/>
      <c r="R4082" s="393"/>
    </row>
    <row r="4083" spans="1:19" s="49" customFormat="1" ht="30" customHeight="1" x14ac:dyDescent="0.25">
      <c r="A4083" s="24"/>
      <c r="B4083" s="10"/>
      <c r="C4083" s="13"/>
      <c r="D4083" s="13"/>
      <c r="E4083" s="13"/>
      <c r="F4083" s="13"/>
      <c r="G4083" s="573" t="s">
        <v>652</v>
      </c>
      <c r="H4083" s="13"/>
      <c r="I4083" s="13"/>
      <c r="J4083" s="361">
        <f>VLOOKUP(B4075,'Mil Cost Premiums for RUCs'!$A$4:$R$265,18,FALSE)</f>
        <v>1.0905505199999999</v>
      </c>
      <c r="K4083" s="14">
        <f>+K4082*J4083</f>
        <v>5302.4811533470584</v>
      </c>
      <c r="L4083" s="10" t="s">
        <v>228</v>
      </c>
      <c r="M4083" s="419"/>
      <c r="N4083" s="420"/>
      <c r="P4083" s="412"/>
      <c r="Q4083" s="391"/>
      <c r="R4083" s="393"/>
    </row>
    <row r="4084" spans="1:19" s="128" customFormat="1" ht="75" customHeight="1" x14ac:dyDescent="0.25">
      <c r="A4084" s="580" t="s">
        <v>2609</v>
      </c>
      <c r="B4084" s="532"/>
      <c r="C4084" s="532"/>
      <c r="D4084" s="532"/>
      <c r="E4084" s="532"/>
      <c r="F4084" s="532"/>
      <c r="G4084" s="532"/>
      <c r="H4084" s="532"/>
      <c r="I4084" s="532"/>
      <c r="J4084" s="532"/>
      <c r="K4084" s="532"/>
      <c r="L4084" s="533"/>
      <c r="M4084" s="670"/>
      <c r="N4084" s="420"/>
      <c r="P4084" s="713"/>
      <c r="Q4084" s="712"/>
      <c r="R4084" s="714"/>
    </row>
    <row r="4085" spans="1:19" ht="30" customHeight="1" x14ac:dyDescent="0.25">
      <c r="A4085" s="217" t="s">
        <v>539</v>
      </c>
      <c r="B4085" s="218"/>
      <c r="C4085" s="219"/>
      <c r="D4085" s="386" t="s">
        <v>2610</v>
      </c>
      <c r="E4085" s="849"/>
      <c r="F4085" s="849"/>
      <c r="G4085" s="849"/>
      <c r="H4085" s="849"/>
      <c r="I4085" s="849"/>
      <c r="J4085" s="849"/>
      <c r="K4085" s="849"/>
      <c r="L4085" s="850"/>
      <c r="M4085" s="670"/>
      <c r="N4085" s="420"/>
      <c r="O4085" s="43"/>
      <c r="P4085" s="672"/>
      <c r="Q4085" s="671"/>
      <c r="R4085" s="673"/>
    </row>
    <row r="4086" spans="1:19" ht="30" customHeight="1" x14ac:dyDescent="0.25">
      <c r="A4086" s="217" t="s">
        <v>541</v>
      </c>
      <c r="B4086" s="218"/>
      <c r="C4086" s="219"/>
      <c r="D4086" s="386" t="s">
        <v>2611</v>
      </c>
      <c r="E4086" s="849"/>
      <c r="F4086" s="849"/>
      <c r="G4086" s="849"/>
      <c r="H4086" s="849"/>
      <c r="I4086" s="849"/>
      <c r="J4086" s="849"/>
      <c r="K4086" s="849"/>
      <c r="L4086" s="850"/>
      <c r="M4086" s="419"/>
      <c r="N4086" s="671"/>
      <c r="O4086" s="43"/>
      <c r="P4086" s="672"/>
      <c r="Q4086" s="671"/>
      <c r="R4086" s="673"/>
    </row>
    <row r="4087" spans="1:19" ht="30" customHeight="1" x14ac:dyDescent="0.25">
      <c r="A4087" s="217" t="s">
        <v>543</v>
      </c>
      <c r="B4087" s="218"/>
      <c r="C4087" s="219"/>
      <c r="D4087" s="386" t="s">
        <v>2612</v>
      </c>
      <c r="E4087" s="849"/>
      <c r="F4087" s="849"/>
      <c r="G4087" s="849"/>
      <c r="H4087" s="849"/>
      <c r="I4087" s="849"/>
      <c r="J4087" s="849"/>
      <c r="K4087" s="849"/>
      <c r="L4087" s="850"/>
      <c r="M4087" s="419"/>
      <c r="N4087" s="671"/>
      <c r="O4087"/>
      <c r="P4087" s="412"/>
      <c r="Q4087" s="391"/>
      <c r="R4087" s="393"/>
      <c r="S4087" s="128"/>
    </row>
    <row r="4088" spans="1:19" ht="45" customHeight="1" x14ac:dyDescent="0.25">
      <c r="A4088" s="217" t="s">
        <v>546</v>
      </c>
      <c r="B4088" s="218"/>
      <c r="C4088" s="219"/>
      <c r="D4088" s="386" t="s">
        <v>2613</v>
      </c>
      <c r="E4088" s="849"/>
      <c r="F4088" s="849"/>
      <c r="G4088" s="849"/>
      <c r="H4088" s="849"/>
      <c r="I4088" s="849"/>
      <c r="J4088" s="849"/>
      <c r="K4088" s="849"/>
      <c r="L4088" s="850"/>
      <c r="M4088" s="419"/>
      <c r="N4088" s="420"/>
      <c r="O4088"/>
      <c r="P4088" s="412"/>
      <c r="Q4088" s="391"/>
      <c r="R4088" s="393"/>
    </row>
    <row r="4089" spans="1:19" ht="30" customHeight="1" x14ac:dyDescent="0.25">
      <c r="A4089" s="217" t="s">
        <v>548</v>
      </c>
      <c r="B4089" s="218"/>
      <c r="C4089" s="219"/>
      <c r="D4089" s="386" t="s">
        <v>2574</v>
      </c>
      <c r="E4089" s="849"/>
      <c r="F4089" s="849"/>
      <c r="G4089" s="849"/>
      <c r="H4089" s="849"/>
      <c r="I4089" s="849"/>
      <c r="J4089" s="849"/>
      <c r="K4089" s="849"/>
      <c r="L4089" s="850"/>
      <c r="M4089" s="419"/>
      <c r="N4089" s="420"/>
      <c r="O4089"/>
      <c r="P4089" s="412"/>
      <c r="Q4089" s="391"/>
      <c r="R4089" s="393"/>
    </row>
    <row r="4090" spans="1:19" ht="30" customHeight="1" x14ac:dyDescent="0.25">
      <c r="A4090" s="217" t="s">
        <v>550</v>
      </c>
      <c r="B4090" s="218"/>
      <c r="C4090" s="219"/>
      <c r="D4090" s="386" t="s">
        <v>2441</v>
      </c>
      <c r="E4090" s="849"/>
      <c r="F4090" s="849"/>
      <c r="G4090" s="849"/>
      <c r="H4090" s="849"/>
      <c r="I4090" s="849"/>
      <c r="J4090" s="849"/>
      <c r="K4090" s="849"/>
      <c r="L4090" s="850"/>
      <c r="M4090" s="425"/>
      <c r="N4090" s="420"/>
      <c r="O4090"/>
      <c r="P4090" s="412"/>
      <c r="Q4090" s="391"/>
      <c r="R4090" s="393"/>
    </row>
    <row r="4091" spans="1:19" s="49" customFormat="1" ht="30" customHeight="1" x14ac:dyDescent="0.25">
      <c r="A4091" s="217" t="s">
        <v>552</v>
      </c>
      <c r="B4091" s="218"/>
      <c r="C4091" s="219"/>
      <c r="D4091" s="386" t="s">
        <v>2442</v>
      </c>
      <c r="E4091" s="849"/>
      <c r="F4091" s="849"/>
      <c r="G4091" s="849"/>
      <c r="H4091" s="849"/>
      <c r="I4091" s="849"/>
      <c r="J4091" s="849"/>
      <c r="K4091" s="849"/>
      <c r="L4091" s="850"/>
      <c r="M4091" s="419"/>
      <c r="N4091" s="420"/>
      <c r="P4091" s="412"/>
      <c r="Q4091" s="391"/>
      <c r="R4091" s="393"/>
    </row>
    <row r="4092" spans="1:19" s="128" customFormat="1" ht="30" customHeight="1" x14ac:dyDescent="0.25">
      <c r="A4092" s="217" t="s">
        <v>553</v>
      </c>
      <c r="B4092" s="218"/>
      <c r="C4092" s="219"/>
      <c r="D4092" s="386" t="s">
        <v>2614</v>
      </c>
      <c r="E4092" s="849"/>
      <c r="F4092" s="849"/>
      <c r="G4092" s="849"/>
      <c r="H4092" s="849"/>
      <c r="I4092" s="849"/>
      <c r="J4092" s="849"/>
      <c r="K4092" s="849"/>
      <c r="L4092" s="850"/>
      <c r="M4092" s="670"/>
      <c r="N4092" s="420"/>
      <c r="O4092"/>
      <c r="P4092" s="412"/>
      <c r="Q4092" s="391"/>
      <c r="R4092" s="393"/>
      <c r="S4092"/>
    </row>
    <row r="4093" spans="1:19" s="128" customFormat="1" ht="126" customHeight="1" thickBot="1" x14ac:dyDescent="0.3">
      <c r="A4093" s="1282" t="s">
        <v>556</v>
      </c>
      <c r="B4093" s="1283"/>
      <c r="C4093" s="1284"/>
      <c r="D4093" s="386" t="s">
        <v>3395</v>
      </c>
      <c r="E4093" s="849"/>
      <c r="F4093" s="849"/>
      <c r="G4093" s="849"/>
      <c r="H4093" s="849"/>
      <c r="I4093" s="849"/>
      <c r="J4093" s="849"/>
      <c r="K4093" s="849"/>
      <c r="L4093" s="850"/>
      <c r="M4093" s="670"/>
      <c r="N4093" s="420"/>
      <c r="O4093"/>
      <c r="P4093" s="412"/>
      <c r="Q4093" s="391"/>
      <c r="R4093" s="393"/>
    </row>
    <row r="4094" spans="1:19" s="128" customFormat="1" ht="30" customHeight="1" thickBot="1" x14ac:dyDescent="0.3">
      <c r="A4094" s="76"/>
      <c r="B4094" s="77"/>
      <c r="C4094" s="77"/>
      <c r="D4094" s="77"/>
      <c r="E4094" s="77"/>
      <c r="F4094" s="77"/>
      <c r="G4094" s="77"/>
      <c r="H4094" s="77"/>
      <c r="I4094" s="77"/>
      <c r="J4094" s="77"/>
      <c r="K4094" s="77"/>
      <c r="L4094" s="78"/>
      <c r="M4094" s="419"/>
      <c r="N4094" s="671"/>
      <c r="O4094"/>
      <c r="P4094" s="412"/>
      <c r="Q4094" s="391"/>
      <c r="R4094" s="393"/>
    </row>
    <row r="4095" spans="1:19" ht="30" customHeight="1" x14ac:dyDescent="0.25">
      <c r="A4095" s="30" t="s">
        <v>288</v>
      </c>
      <c r="B4095" s="208">
        <v>8271</v>
      </c>
      <c r="C4095" s="282" t="s">
        <v>2615</v>
      </c>
      <c r="D4095" s="283"/>
      <c r="E4095" s="177" t="s">
        <v>291</v>
      </c>
      <c r="F4095" s="178" t="s">
        <v>7</v>
      </c>
      <c r="G4095" s="123" t="s">
        <v>375</v>
      </c>
      <c r="H4095" s="1425">
        <v>7484</v>
      </c>
      <c r="I4095" s="177" t="s">
        <v>292</v>
      </c>
      <c r="J4095" s="38" t="s">
        <v>883</v>
      </c>
      <c r="K4095" s="38"/>
      <c r="L4095" s="389"/>
      <c r="M4095" s="419"/>
      <c r="N4095" s="671"/>
      <c r="O4095" s="43"/>
      <c r="P4095" s="672"/>
      <c r="Q4095" s="671"/>
      <c r="R4095" s="673"/>
    </row>
    <row r="4096" spans="1:19" ht="30" customHeight="1" x14ac:dyDescent="0.25">
      <c r="A4096" s="48" t="s">
        <v>529</v>
      </c>
      <c r="B4096" s="394" t="s">
        <v>560</v>
      </c>
      <c r="C4096" s="395"/>
      <c r="D4096" s="396"/>
      <c r="E4096" s="397" t="s">
        <v>519</v>
      </c>
      <c r="F4096" s="397" t="s">
        <v>561</v>
      </c>
      <c r="G4096" s="398" t="s">
        <v>562</v>
      </c>
      <c r="H4096" s="399"/>
      <c r="I4096" s="181" t="s">
        <v>530</v>
      </c>
      <c r="J4096" s="181"/>
      <c r="K4096" s="493" t="s">
        <v>521</v>
      </c>
      <c r="L4096" s="494"/>
      <c r="M4096" s="419"/>
      <c r="N4096" s="1603"/>
      <c r="O4096" s="43"/>
      <c r="P4096" s="672"/>
      <c r="Q4096" s="671"/>
      <c r="R4096" s="673"/>
    </row>
    <row r="4097" spans="1:19" ht="30" customHeight="1" x14ac:dyDescent="0.25">
      <c r="A4097" s="61" t="s">
        <v>2616</v>
      </c>
      <c r="B4097" s="523" t="s">
        <v>2617</v>
      </c>
      <c r="C4097" s="524"/>
      <c r="D4097" s="407"/>
      <c r="E4097" s="760">
        <f>+(46.25+52.5)/2</f>
        <v>49.375</v>
      </c>
      <c r="F4097" s="22" t="s">
        <v>7</v>
      </c>
      <c r="G4097" s="1112"/>
      <c r="H4097" s="758"/>
      <c r="I4097" s="20">
        <v>1.06</v>
      </c>
      <c r="J4097" s="22"/>
      <c r="K4097" s="23">
        <f>+E4097*I4097</f>
        <v>52.337500000000006</v>
      </c>
      <c r="L4097" s="22" t="s">
        <v>7</v>
      </c>
      <c r="M4097" s="419"/>
      <c r="N4097" s="1603"/>
      <c r="O4097"/>
      <c r="P4097" s="412"/>
      <c r="Q4097" s="391"/>
      <c r="R4097" s="393"/>
      <c r="S4097" s="128"/>
    </row>
    <row r="4098" spans="1:19" ht="30" customHeight="1" x14ac:dyDescent="0.25">
      <c r="A4098" s="61" t="s">
        <v>2616</v>
      </c>
      <c r="B4098" s="503" t="s">
        <v>2618</v>
      </c>
      <c r="C4098" s="504"/>
      <c r="D4098" s="505"/>
      <c r="E4098" s="760">
        <f>E4097</f>
        <v>49.375</v>
      </c>
      <c r="F4098" s="22" t="s">
        <v>7</v>
      </c>
      <c r="G4098" s="1539"/>
      <c r="H4098" s="1429"/>
      <c r="I4098" s="20">
        <v>1.06</v>
      </c>
      <c r="J4098" s="20"/>
      <c r="K4098" s="760">
        <f>+K4097</f>
        <v>52.337500000000006</v>
      </c>
      <c r="L4098" s="22" t="s">
        <v>7</v>
      </c>
      <c r="M4098" s="425"/>
      <c r="N4098" s="420"/>
      <c r="O4098" s="128"/>
      <c r="P4098" s="713"/>
      <c r="Q4098" s="712"/>
      <c r="R4098" s="714"/>
    </row>
    <row r="4099" spans="1:19" ht="30" customHeight="1" x14ac:dyDescent="0.25">
      <c r="A4099" s="61" t="s">
        <v>2619</v>
      </c>
      <c r="B4099" s="503" t="s">
        <v>2620</v>
      </c>
      <c r="C4099" s="504"/>
      <c r="D4099" s="505"/>
      <c r="E4099" s="405">
        <f>+(2650+4450)/2</f>
        <v>3550</v>
      </c>
      <c r="F4099" s="730" t="s">
        <v>11</v>
      </c>
      <c r="G4099" s="870">
        <v>316</v>
      </c>
      <c r="H4099" s="609" t="s">
        <v>2621</v>
      </c>
      <c r="I4099" s="20">
        <v>1.06</v>
      </c>
      <c r="J4099" s="22"/>
      <c r="K4099" s="528">
        <f>+E4099/G4099*I4099</f>
        <v>11.908227848101268</v>
      </c>
      <c r="L4099" s="20" t="s">
        <v>7</v>
      </c>
      <c r="M4099" s="419"/>
      <c r="N4099" s="420"/>
      <c r="O4099" s="128"/>
      <c r="P4099" s="713"/>
      <c r="Q4099" s="712"/>
      <c r="R4099" s="714"/>
    </row>
    <row r="4100" spans="1:19" ht="30" customHeight="1" x14ac:dyDescent="0.25">
      <c r="A4100" s="1334"/>
      <c r="B4100" s="186"/>
      <c r="C4100" s="186"/>
      <c r="D4100" s="186"/>
      <c r="E4100" s="405"/>
      <c r="F4100" s="20"/>
      <c r="G4100" s="22"/>
      <c r="H4100" s="22"/>
      <c r="I4100" s="20"/>
      <c r="J4100" s="20" t="s">
        <v>578</v>
      </c>
      <c r="K4100" s="405">
        <f>+K4097+K4098+K4099</f>
        <v>116.58322784810127</v>
      </c>
      <c r="L4100" s="20" t="s">
        <v>7</v>
      </c>
      <c r="M4100" s="419"/>
      <c r="N4100" s="420"/>
      <c r="O4100"/>
      <c r="P4100" s="412"/>
      <c r="Q4100" s="391"/>
      <c r="R4100" s="393"/>
    </row>
    <row r="4101" spans="1:19" s="49" customFormat="1" ht="30" customHeight="1" x14ac:dyDescent="0.25">
      <c r="A4101" s="61"/>
      <c r="B4101" s="410"/>
      <c r="C4101" s="410"/>
      <c r="D4101" s="410"/>
      <c r="E4101" s="405"/>
      <c r="F4101" s="338" t="s">
        <v>533</v>
      </c>
      <c r="G4101" s="339" t="s">
        <v>534</v>
      </c>
      <c r="H4101" s="339"/>
      <c r="I4101" s="339"/>
      <c r="J4101" s="339"/>
      <c r="K4101" s="340">
        <v>1.07</v>
      </c>
      <c r="L4101" s="10"/>
      <c r="M4101" s="419"/>
      <c r="N4101" s="420"/>
      <c r="P4101" s="412"/>
      <c r="Q4101" s="391"/>
      <c r="R4101" s="393"/>
    </row>
    <row r="4102" spans="1:19" s="128" customFormat="1" ht="30" customHeight="1" x14ac:dyDescent="0.25">
      <c r="A4102" s="61"/>
      <c r="B4102" s="410"/>
      <c r="C4102" s="410"/>
      <c r="D4102" s="410"/>
      <c r="E4102" s="405"/>
      <c r="F4102" s="343"/>
      <c r="G4102" s="344" t="s">
        <v>535</v>
      </c>
      <c r="H4102" s="344"/>
      <c r="I4102" s="344"/>
      <c r="J4102" s="344"/>
      <c r="K4102" s="340">
        <v>1.02</v>
      </c>
      <c r="L4102" s="340">
        <v>1.02</v>
      </c>
      <c r="M4102" s="670"/>
      <c r="N4102" s="420"/>
      <c r="O4102"/>
      <c r="P4102" s="412"/>
      <c r="Q4102" s="391"/>
      <c r="R4102" s="393"/>
    </row>
    <row r="4103" spans="1:19" s="128" customFormat="1" ht="30" customHeight="1" x14ac:dyDescent="0.25">
      <c r="A4103" s="61"/>
      <c r="B4103" s="20"/>
      <c r="C4103" s="18"/>
      <c r="D4103" s="18"/>
      <c r="E4103" s="18"/>
      <c r="F4103" s="18"/>
      <c r="G4103" s="18"/>
      <c r="H4103" s="18"/>
      <c r="I4103" s="18"/>
      <c r="J4103" s="20" t="s">
        <v>358</v>
      </c>
      <c r="K4103" s="23">
        <f>+K4100*K4101/K4102</f>
        <v>122.29809195830232</v>
      </c>
      <c r="L4103" s="20" t="s">
        <v>7</v>
      </c>
      <c r="M4103" s="670"/>
      <c r="N4103" s="420"/>
      <c r="O4103"/>
      <c r="P4103" s="412"/>
      <c r="Q4103" s="391"/>
      <c r="R4103" s="393"/>
    </row>
    <row r="4104" spans="1:19" s="128" customFormat="1" ht="30" customHeight="1" thickBot="1" x14ac:dyDescent="0.3">
      <c r="A4104" s="61"/>
      <c r="B4104" s="20"/>
      <c r="C4104" s="18"/>
      <c r="D4104" s="18"/>
      <c r="E4104" s="18"/>
      <c r="F4104" s="18"/>
      <c r="G4104" s="413" t="s">
        <v>537</v>
      </c>
      <c r="H4104" s="18"/>
      <c r="I4104" s="18"/>
      <c r="J4104" s="361">
        <f>VLOOKUP(B4095,'Mil Cost Premiums for RUCs'!$A$4:$R$265,18,FALSE)</f>
        <v>1.0905505199999999</v>
      </c>
      <c r="K4104" s="23">
        <f>+K4103*J4104</f>
        <v>133.37224778013439</v>
      </c>
      <c r="L4104" s="20" t="s">
        <v>7</v>
      </c>
      <c r="M4104" s="419"/>
      <c r="N4104" s="671"/>
      <c r="O4104"/>
      <c r="P4104" s="412"/>
      <c r="Q4104" s="391"/>
      <c r="R4104" s="393"/>
    </row>
    <row r="4105" spans="1:19" ht="30" customHeight="1" thickBot="1" x14ac:dyDescent="0.3">
      <c r="A4105" s="76"/>
      <c r="B4105" s="77"/>
      <c r="C4105" s="77"/>
      <c r="D4105" s="77"/>
      <c r="E4105" s="77"/>
      <c r="F4105" s="77"/>
      <c r="G4105" s="77"/>
      <c r="H4105" s="77"/>
      <c r="I4105" s="77"/>
      <c r="J4105" s="77"/>
      <c r="K4105" s="77"/>
      <c r="L4105" s="78"/>
      <c r="M4105" s="419"/>
      <c r="N4105" s="671"/>
      <c r="O4105" s="43"/>
      <c r="P4105" s="672"/>
      <c r="Q4105" s="671"/>
      <c r="R4105" s="673"/>
    </row>
    <row r="4106" spans="1:19" ht="30" customHeight="1" x14ac:dyDescent="0.25">
      <c r="A4106" s="417" t="s">
        <v>288</v>
      </c>
      <c r="B4106" s="418">
        <v>8311</v>
      </c>
      <c r="C4106" s="691" t="s">
        <v>2622</v>
      </c>
      <c r="D4106" s="692"/>
      <c r="E4106" s="540" t="s">
        <v>291</v>
      </c>
      <c r="F4106" s="541" t="s">
        <v>231</v>
      </c>
      <c r="G4106" s="123" t="s">
        <v>375</v>
      </c>
      <c r="H4106" s="600">
        <v>1457</v>
      </c>
      <c r="I4106" s="540" t="s">
        <v>292</v>
      </c>
      <c r="J4106" s="38" t="s">
        <v>883</v>
      </c>
      <c r="K4106" s="38"/>
      <c r="L4106" s="389"/>
      <c r="M4106" s="419"/>
      <c r="N4106" s="420"/>
      <c r="O4106" s="43"/>
      <c r="P4106" s="672"/>
      <c r="Q4106" s="671"/>
      <c r="R4106" s="673"/>
    </row>
    <row r="4107" spans="1:19" s="128" customFormat="1" ht="30" customHeight="1" x14ac:dyDescent="0.25">
      <c r="A4107" s="421" t="s">
        <v>529</v>
      </c>
      <c r="B4107" s="543" t="s">
        <v>560</v>
      </c>
      <c r="C4107" s="544"/>
      <c r="D4107" s="545"/>
      <c r="E4107" s="546" t="s">
        <v>519</v>
      </c>
      <c r="F4107" s="546" t="s">
        <v>561</v>
      </c>
      <c r="G4107" s="547" t="s">
        <v>562</v>
      </c>
      <c r="H4107" s="548"/>
      <c r="I4107" s="424" t="s">
        <v>530</v>
      </c>
      <c r="J4107" s="424"/>
      <c r="K4107" s="493" t="s">
        <v>521</v>
      </c>
      <c r="L4107" s="494"/>
      <c r="M4107" s="419"/>
      <c r="N4107" s="420"/>
      <c r="O4107"/>
      <c r="P4107" s="412"/>
      <c r="Q4107" s="391"/>
      <c r="R4107" s="393"/>
    </row>
    <row r="4108" spans="1:19" s="128" customFormat="1" ht="30" customHeight="1" x14ac:dyDescent="0.25">
      <c r="A4108" s="10" t="s">
        <v>1591</v>
      </c>
      <c r="B4108" s="346" t="s">
        <v>2623</v>
      </c>
      <c r="C4108" s="347"/>
      <c r="D4108" s="348"/>
      <c r="E4108" s="700">
        <f>+(4.11+8.55)/2</f>
        <v>6.33</v>
      </c>
      <c r="F4108" s="5" t="s">
        <v>2624</v>
      </c>
      <c r="G4108" s="697">
        <v>1000</v>
      </c>
      <c r="H4108" s="698" t="s">
        <v>2625</v>
      </c>
      <c r="I4108" s="10">
        <v>1.05</v>
      </c>
      <c r="J4108" s="5"/>
      <c r="K4108" s="14">
        <f>+E4108*G4108*I4108</f>
        <v>6646.5</v>
      </c>
      <c r="L4108" s="5" t="s">
        <v>231</v>
      </c>
      <c r="M4108" s="425"/>
      <c r="N4108" s="420"/>
      <c r="O4108"/>
      <c r="P4108" s="412"/>
      <c r="Q4108" s="391"/>
      <c r="R4108" s="393"/>
    </row>
    <row r="4109" spans="1:19" s="128" customFormat="1" ht="30" customHeight="1" x14ac:dyDescent="0.25">
      <c r="A4109" s="61"/>
      <c r="B4109" s="410"/>
      <c r="C4109" s="410"/>
      <c r="D4109" s="410"/>
      <c r="E4109" s="405"/>
      <c r="F4109" s="338" t="s">
        <v>533</v>
      </c>
      <c r="G4109" s="339" t="s">
        <v>534</v>
      </c>
      <c r="H4109" s="339"/>
      <c r="I4109" s="339"/>
      <c r="J4109" s="339"/>
      <c r="K4109" s="340">
        <v>1.07</v>
      </c>
      <c r="L4109" s="10"/>
      <c r="M4109" s="419"/>
      <c r="N4109" s="1603"/>
      <c r="O4109"/>
      <c r="P4109" s="412"/>
      <c r="Q4109" s="391"/>
      <c r="R4109" s="393"/>
    </row>
    <row r="4110" spans="1:19" s="128" customFormat="1" ht="30" customHeight="1" x14ac:dyDescent="0.25">
      <c r="A4110" s="61"/>
      <c r="B4110" s="410"/>
      <c r="C4110" s="410"/>
      <c r="D4110" s="410"/>
      <c r="E4110" s="405"/>
      <c r="F4110" s="343"/>
      <c r="G4110" s="344" t="s">
        <v>535</v>
      </c>
      <c r="H4110" s="344"/>
      <c r="I4110" s="344"/>
      <c r="J4110" s="344"/>
      <c r="K4110" s="340">
        <v>1.02</v>
      </c>
      <c r="L4110" s="10"/>
      <c r="M4110" s="419"/>
      <c r="N4110" s="1603"/>
      <c r="O4110"/>
      <c r="P4110" s="412"/>
      <c r="Q4110" s="391"/>
      <c r="R4110" s="393"/>
    </row>
    <row r="4111" spans="1:19" s="128" customFormat="1" ht="30" customHeight="1" x14ac:dyDescent="0.25">
      <c r="A4111" s="10"/>
      <c r="B4111" s="334"/>
      <c r="C4111" s="335"/>
      <c r="D4111" s="336"/>
      <c r="E4111" s="700"/>
      <c r="F4111" s="5"/>
      <c r="G4111" s="1518"/>
      <c r="H4111" s="698"/>
      <c r="I4111" s="10"/>
      <c r="J4111" s="10" t="s">
        <v>358</v>
      </c>
      <c r="K4111" s="14">
        <f>+K4108*K4109/K4110</f>
        <v>6972.3088235294117</v>
      </c>
      <c r="L4111" s="10" t="s">
        <v>231</v>
      </c>
      <c r="M4111" s="419"/>
      <c r="N4111" s="420"/>
      <c r="O4111"/>
      <c r="P4111" s="412"/>
      <c r="Q4111" s="391"/>
      <c r="R4111" s="393"/>
    </row>
    <row r="4112" spans="1:19" s="128" customFormat="1" ht="30" customHeight="1" x14ac:dyDescent="0.25">
      <c r="A4112" s="553"/>
      <c r="B4112" s="1540"/>
      <c r="C4112" s="1540"/>
      <c r="D4112" s="1540"/>
      <c r="E4112" s="1541"/>
      <c r="F4112" s="925"/>
      <c r="G4112" s="1542"/>
      <c r="H4112" s="556"/>
      <c r="I4112" s="1245" t="s">
        <v>537</v>
      </c>
      <c r="J4112" s="361">
        <f>VLOOKUP(B4106,'Mil Cost Premiums for RUCs'!$A$4:$R$265,18,FALSE)</f>
        <v>1.1199953840399997</v>
      </c>
      <c r="K4112" s="14">
        <f>+K4111*J4112</f>
        <v>7808.953698454302</v>
      </c>
      <c r="L4112" s="10" t="s">
        <v>231</v>
      </c>
      <c r="M4112" s="670"/>
      <c r="N4112" s="420"/>
      <c r="O4112"/>
      <c r="P4112" s="412"/>
      <c r="Q4112" s="391"/>
      <c r="R4112" s="393"/>
    </row>
    <row r="4113" spans="1:18" s="128" customFormat="1" ht="75" customHeight="1" x14ac:dyDescent="0.25">
      <c r="A4113" s="580" t="s">
        <v>538</v>
      </c>
      <c r="B4113" s="532"/>
      <c r="C4113" s="532"/>
      <c r="D4113" s="532"/>
      <c r="E4113" s="532"/>
      <c r="F4113" s="532"/>
      <c r="G4113" s="532"/>
      <c r="H4113" s="532"/>
      <c r="I4113" s="532"/>
      <c r="J4113" s="532"/>
      <c r="K4113" s="532"/>
      <c r="L4113" s="533"/>
      <c r="M4113" s="670"/>
      <c r="N4113" s="420"/>
      <c r="O4113"/>
      <c r="P4113" s="412"/>
      <c r="Q4113" s="391"/>
      <c r="R4113" s="393"/>
    </row>
    <row r="4114" spans="1:18" s="128" customFormat="1" ht="30" customHeight="1" x14ac:dyDescent="0.25">
      <c r="A4114" s="217" t="s">
        <v>539</v>
      </c>
      <c r="B4114" s="218"/>
      <c r="C4114" s="219"/>
      <c r="D4114" s="386" t="s">
        <v>2626</v>
      </c>
      <c r="E4114" s="849"/>
      <c r="F4114" s="849"/>
      <c r="G4114" s="849"/>
      <c r="H4114" s="849"/>
      <c r="I4114" s="849"/>
      <c r="J4114" s="849"/>
      <c r="K4114" s="849"/>
      <c r="L4114" s="850"/>
      <c r="M4114" s="419"/>
      <c r="N4114" s="671"/>
      <c r="O4114"/>
      <c r="P4114" s="412"/>
      <c r="Q4114" s="391"/>
      <c r="R4114" s="393"/>
    </row>
    <row r="4115" spans="1:18" s="128" customFormat="1" ht="105" customHeight="1" x14ac:dyDescent="0.25">
      <c r="A4115" s="217" t="s">
        <v>541</v>
      </c>
      <c r="B4115" s="218"/>
      <c r="C4115" s="219"/>
      <c r="D4115" s="386" t="s">
        <v>2627</v>
      </c>
      <c r="E4115" s="849"/>
      <c r="F4115" s="849"/>
      <c r="G4115" s="849"/>
      <c r="H4115" s="849"/>
      <c r="I4115" s="849"/>
      <c r="J4115" s="849"/>
      <c r="K4115" s="849"/>
      <c r="L4115" s="850"/>
      <c r="M4115" s="419"/>
      <c r="N4115" s="671"/>
      <c r="O4115"/>
      <c r="P4115" s="412"/>
      <c r="Q4115" s="391"/>
      <c r="R4115" s="393"/>
    </row>
    <row r="4116" spans="1:18" s="128" customFormat="1" ht="30" customHeight="1" x14ac:dyDescent="0.25">
      <c r="A4116" s="217" t="s">
        <v>543</v>
      </c>
      <c r="B4116" s="218"/>
      <c r="C4116" s="219"/>
      <c r="D4116" s="386" t="s">
        <v>2628</v>
      </c>
      <c r="E4116" s="849"/>
      <c r="F4116" s="849"/>
      <c r="G4116" s="849"/>
      <c r="H4116" s="849"/>
      <c r="I4116" s="849"/>
      <c r="J4116" s="849"/>
      <c r="K4116" s="849"/>
      <c r="L4116" s="850"/>
      <c r="M4116" s="419"/>
      <c r="N4116" s="420"/>
      <c r="O4116"/>
      <c r="P4116" s="412"/>
      <c r="Q4116" s="391"/>
      <c r="R4116" s="393"/>
    </row>
    <row r="4117" spans="1:18" s="128" customFormat="1" ht="30" customHeight="1" x14ac:dyDescent="0.25">
      <c r="A4117" s="217" t="s">
        <v>546</v>
      </c>
      <c r="B4117" s="218"/>
      <c r="C4117" s="219"/>
      <c r="D4117" s="386" t="s">
        <v>2629</v>
      </c>
      <c r="E4117" s="849"/>
      <c r="F4117" s="849"/>
      <c r="G4117" s="849"/>
      <c r="H4117" s="849"/>
      <c r="I4117" s="849"/>
      <c r="J4117" s="849"/>
      <c r="K4117" s="849"/>
      <c r="L4117" s="850"/>
      <c r="M4117" s="419"/>
      <c r="N4117" s="420"/>
      <c r="O4117"/>
      <c r="P4117" s="412"/>
      <c r="Q4117" s="391"/>
      <c r="R4117" s="393"/>
    </row>
    <row r="4118" spans="1:18" ht="30" customHeight="1" x14ac:dyDescent="0.25">
      <c r="A4118" s="217" t="s">
        <v>548</v>
      </c>
      <c r="B4118" s="218"/>
      <c r="C4118" s="219"/>
      <c r="D4118" s="386" t="s">
        <v>2574</v>
      </c>
      <c r="E4118" s="849"/>
      <c r="F4118" s="849"/>
      <c r="G4118" s="849"/>
      <c r="H4118" s="849"/>
      <c r="I4118" s="849"/>
      <c r="J4118" s="849"/>
      <c r="K4118" s="849"/>
      <c r="L4118" s="850"/>
      <c r="M4118" s="419"/>
      <c r="N4118" s="420"/>
      <c r="O4118" s="128"/>
      <c r="P4118" s="713"/>
      <c r="Q4118" s="712"/>
      <c r="R4118" s="714"/>
    </row>
    <row r="4119" spans="1:18" ht="30" customHeight="1" x14ac:dyDescent="0.25">
      <c r="A4119" s="217" t="s">
        <v>550</v>
      </c>
      <c r="B4119" s="218"/>
      <c r="C4119" s="219"/>
      <c r="D4119" s="386" t="s">
        <v>4</v>
      </c>
      <c r="E4119" s="849"/>
      <c r="F4119" s="849"/>
      <c r="G4119" s="849"/>
      <c r="H4119" s="849"/>
      <c r="I4119" s="849"/>
      <c r="J4119" s="849"/>
      <c r="K4119" s="849"/>
      <c r="L4119" s="850"/>
      <c r="M4119" s="419"/>
      <c r="N4119" s="420"/>
      <c r="O4119" s="128"/>
      <c r="P4119" s="713"/>
      <c r="Q4119" s="712"/>
      <c r="R4119" s="714"/>
    </row>
    <row r="4120" spans="1:18" ht="30" customHeight="1" x14ac:dyDescent="0.25">
      <c r="A4120" s="217" t="s">
        <v>552</v>
      </c>
      <c r="B4120" s="218"/>
      <c r="C4120" s="219"/>
      <c r="D4120" s="386" t="s">
        <v>2441</v>
      </c>
      <c r="E4120" s="849"/>
      <c r="F4120" s="849"/>
      <c r="G4120" s="849"/>
      <c r="H4120" s="849"/>
      <c r="I4120" s="849"/>
      <c r="J4120" s="849"/>
      <c r="K4120" s="849"/>
      <c r="L4120" s="850"/>
      <c r="M4120" s="419"/>
      <c r="N4120" s="420"/>
      <c r="O4120"/>
      <c r="P4120" s="412"/>
      <c r="Q4120" s="391"/>
      <c r="R4120" s="393"/>
    </row>
    <row r="4121" spans="1:18" s="49" customFormat="1" ht="60" customHeight="1" x14ac:dyDescent="0.25">
      <c r="A4121" s="217" t="s">
        <v>553</v>
      </c>
      <c r="B4121" s="218"/>
      <c r="C4121" s="219"/>
      <c r="D4121" s="386" t="s">
        <v>2630</v>
      </c>
      <c r="E4121" s="849"/>
      <c r="F4121" s="849"/>
      <c r="G4121" s="849"/>
      <c r="H4121" s="849"/>
      <c r="I4121" s="849"/>
      <c r="J4121" s="849"/>
      <c r="K4121" s="849"/>
      <c r="L4121" s="850"/>
      <c r="M4121" s="419"/>
      <c r="N4121" s="420"/>
      <c r="P4121" s="412"/>
      <c r="Q4121" s="391"/>
      <c r="R4121" s="393"/>
    </row>
    <row r="4122" spans="1:18" s="25" customFormat="1" ht="105" customHeight="1" thickBot="1" x14ac:dyDescent="0.3">
      <c r="A4122" s="1014" t="s">
        <v>556</v>
      </c>
      <c r="B4122" s="1015"/>
      <c r="C4122" s="1016"/>
      <c r="D4122" s="386" t="s">
        <v>2631</v>
      </c>
      <c r="E4122" s="849"/>
      <c r="F4122" s="849"/>
      <c r="G4122" s="849"/>
      <c r="H4122" s="849"/>
      <c r="I4122" s="849"/>
      <c r="J4122" s="849"/>
      <c r="K4122" s="849"/>
      <c r="L4122" s="850"/>
      <c r="M4122" s="419"/>
      <c r="N4122" s="420"/>
      <c r="P4122" s="566"/>
      <c r="Q4122" s="420"/>
      <c r="R4122" s="567"/>
    </row>
    <row r="4123" spans="1:18" s="128" customFormat="1" ht="30" customHeight="1" thickBot="1" x14ac:dyDescent="0.3">
      <c r="A4123" s="76"/>
      <c r="B4123" s="77"/>
      <c r="C4123" s="77"/>
      <c r="D4123" s="77"/>
      <c r="E4123" s="77"/>
      <c r="F4123" s="77"/>
      <c r="G4123" s="77"/>
      <c r="H4123" s="77"/>
      <c r="I4123" s="77"/>
      <c r="J4123" s="77"/>
      <c r="K4123" s="77"/>
      <c r="L4123" s="78"/>
      <c r="M4123" s="419"/>
      <c r="N4123" s="420"/>
      <c r="O4123"/>
      <c r="P4123" s="412"/>
      <c r="Q4123" s="391"/>
      <c r="R4123" s="393"/>
    </row>
    <row r="4124" spans="1:18" s="128" customFormat="1" ht="30" customHeight="1" x14ac:dyDescent="0.25">
      <c r="A4124" s="30" t="s">
        <v>288</v>
      </c>
      <c r="B4124" s="208">
        <v>8312</v>
      </c>
      <c r="C4124" s="209" t="s">
        <v>2632</v>
      </c>
      <c r="D4124" s="210"/>
      <c r="E4124" s="177" t="s">
        <v>291</v>
      </c>
      <c r="F4124" s="178" t="s">
        <v>231</v>
      </c>
      <c r="G4124" s="123" t="s">
        <v>375</v>
      </c>
      <c r="H4124" s="179">
        <v>1801</v>
      </c>
      <c r="I4124" s="177" t="s">
        <v>292</v>
      </c>
      <c r="J4124" s="38" t="s">
        <v>883</v>
      </c>
      <c r="K4124" s="38"/>
      <c r="L4124" s="389"/>
      <c r="M4124" s="419"/>
      <c r="N4124" s="420"/>
      <c r="O4124"/>
      <c r="P4124" s="412"/>
      <c r="Q4124" s="391"/>
      <c r="R4124" s="393"/>
    </row>
    <row r="4125" spans="1:18" s="128" customFormat="1" ht="30" customHeight="1" x14ac:dyDescent="0.25">
      <c r="A4125" s="48" t="s">
        <v>529</v>
      </c>
      <c r="B4125" s="394" t="s">
        <v>560</v>
      </c>
      <c r="C4125" s="395"/>
      <c r="D4125" s="396"/>
      <c r="E4125" s="397" t="s">
        <v>519</v>
      </c>
      <c r="F4125" s="397" t="s">
        <v>561</v>
      </c>
      <c r="G4125" s="398" t="s">
        <v>562</v>
      </c>
      <c r="H4125" s="399"/>
      <c r="I4125" s="181" t="s">
        <v>530</v>
      </c>
      <c r="J4125" s="181"/>
      <c r="K4125" s="493" t="s">
        <v>521</v>
      </c>
      <c r="L4125" s="494"/>
      <c r="M4125" s="419"/>
      <c r="N4125" s="420"/>
      <c r="O4125"/>
      <c r="P4125" s="412"/>
      <c r="Q4125" s="391"/>
      <c r="R4125" s="393"/>
    </row>
    <row r="4126" spans="1:18" ht="30" customHeight="1" x14ac:dyDescent="0.25">
      <c r="A4126" s="61" t="s">
        <v>1591</v>
      </c>
      <c r="B4126" s="402" t="s">
        <v>2633</v>
      </c>
      <c r="C4126" s="403"/>
      <c r="D4126" s="404"/>
      <c r="E4126" s="760">
        <f>+(4.11+8.55)/2</f>
        <v>6.33</v>
      </c>
      <c r="F4126" s="22" t="s">
        <v>6</v>
      </c>
      <c r="G4126" s="1112">
        <v>1000</v>
      </c>
      <c r="H4126" s="758" t="s">
        <v>2634</v>
      </c>
      <c r="I4126" s="20">
        <v>1.05</v>
      </c>
      <c r="J4126" s="22"/>
      <c r="K4126" s="23">
        <f>+E4126*G4126*I4126</f>
        <v>6646.5</v>
      </c>
      <c r="L4126" s="22" t="s">
        <v>231</v>
      </c>
      <c r="M4126" s="419"/>
      <c r="N4126" s="420"/>
      <c r="O4126" s="43"/>
      <c r="P4126" s="672"/>
      <c r="Q4126" s="671"/>
      <c r="R4126" s="673"/>
    </row>
    <row r="4127" spans="1:18" ht="30" customHeight="1" x14ac:dyDescent="0.25">
      <c r="A4127" s="61"/>
      <c r="B4127" s="410"/>
      <c r="C4127" s="410"/>
      <c r="D4127" s="410"/>
      <c r="E4127" s="405"/>
      <c r="F4127" s="338" t="s">
        <v>533</v>
      </c>
      <c r="G4127" s="339" t="s">
        <v>534</v>
      </c>
      <c r="H4127" s="339"/>
      <c r="I4127" s="339"/>
      <c r="J4127" s="339"/>
      <c r="K4127" s="340">
        <v>1.07</v>
      </c>
      <c r="L4127" s="10"/>
      <c r="M4127" s="419"/>
      <c r="N4127" s="420"/>
      <c r="O4127" s="43"/>
      <c r="P4127" s="672"/>
      <c r="Q4127" s="671"/>
      <c r="R4127" s="673"/>
    </row>
    <row r="4128" spans="1:18" ht="30" customHeight="1" x14ac:dyDescent="0.25">
      <c r="A4128" s="61"/>
      <c r="B4128" s="410"/>
      <c r="C4128" s="410"/>
      <c r="D4128" s="410"/>
      <c r="E4128" s="405"/>
      <c r="F4128" s="343"/>
      <c r="G4128" s="344" t="s">
        <v>535</v>
      </c>
      <c r="H4128" s="344"/>
      <c r="I4128" s="344"/>
      <c r="J4128" s="344"/>
      <c r="K4128" s="340">
        <v>1.02</v>
      </c>
      <c r="L4128" s="10"/>
      <c r="M4128" s="425"/>
      <c r="N4128" s="420"/>
      <c r="O4128" s="128"/>
      <c r="P4128" s="713"/>
      <c r="Q4128" s="712"/>
      <c r="R4128" s="714"/>
    </row>
    <row r="4129" spans="1:19" ht="30" customHeight="1" x14ac:dyDescent="0.25">
      <c r="A4129" s="61"/>
      <c r="B4129" s="523"/>
      <c r="C4129" s="524"/>
      <c r="D4129" s="407"/>
      <c r="E4129" s="760"/>
      <c r="F4129" s="22"/>
      <c r="G4129" s="1535"/>
      <c r="H4129" s="758"/>
      <c r="I4129" s="20"/>
      <c r="J4129" s="20" t="s">
        <v>358</v>
      </c>
      <c r="K4129" s="23">
        <f>+K4126*K4127/K4128</f>
        <v>6972.3088235294117</v>
      </c>
      <c r="L4129" s="20" t="s">
        <v>231</v>
      </c>
      <c r="M4129" s="419"/>
      <c r="N4129" s="1603"/>
      <c r="O4129" s="128"/>
      <c r="P4129" s="713"/>
      <c r="Q4129" s="712"/>
      <c r="R4129" s="714"/>
    </row>
    <row r="4130" spans="1:19" ht="30" customHeight="1" thickBot="1" x14ac:dyDescent="0.3">
      <c r="A4130" s="61"/>
      <c r="B4130" s="20"/>
      <c r="C4130" s="18"/>
      <c r="D4130" s="18"/>
      <c r="E4130" s="18"/>
      <c r="F4130" s="18"/>
      <c r="G4130" s="413" t="s">
        <v>537</v>
      </c>
      <c r="H4130" s="18"/>
      <c r="I4130" s="18"/>
      <c r="J4130" s="361">
        <f>VLOOKUP(B4124,'Mil Cost Premiums for RUCs'!$A$4:$R$265,18,FALSE)</f>
        <v>1.1199953840399997</v>
      </c>
      <c r="K4130" s="23">
        <f>+K4129*J4130</f>
        <v>7808.953698454302</v>
      </c>
      <c r="L4130" s="20" t="s">
        <v>231</v>
      </c>
      <c r="M4130" s="419"/>
      <c r="N4130" s="1603"/>
      <c r="O4130"/>
      <c r="P4130" s="412"/>
      <c r="Q4130" s="391"/>
      <c r="R4130" s="393"/>
    </row>
    <row r="4131" spans="1:19" ht="30" customHeight="1" thickBot="1" x14ac:dyDescent="0.3">
      <c r="A4131" s="76"/>
      <c r="B4131" s="77"/>
      <c r="C4131" s="77"/>
      <c r="D4131" s="77"/>
      <c r="E4131" s="77"/>
      <c r="F4131" s="77"/>
      <c r="G4131" s="77"/>
      <c r="H4131" s="77"/>
      <c r="I4131" s="77"/>
      <c r="J4131" s="77"/>
      <c r="K4131" s="77"/>
      <c r="L4131" s="78"/>
      <c r="M4131" s="419"/>
      <c r="N4131" s="420"/>
      <c r="O4131"/>
      <c r="P4131" s="412"/>
      <c r="Q4131" s="391"/>
      <c r="R4131" s="393"/>
    </row>
    <row r="4132" spans="1:19" s="1533" customFormat="1" ht="30" customHeight="1" x14ac:dyDescent="0.25">
      <c r="A4132" s="30" t="s">
        <v>288</v>
      </c>
      <c r="B4132" s="208">
        <v>8313</v>
      </c>
      <c r="C4132" s="209" t="s">
        <v>2635</v>
      </c>
      <c r="D4132" s="210"/>
      <c r="E4132" s="177" t="s">
        <v>291</v>
      </c>
      <c r="F4132" s="178" t="s">
        <v>231</v>
      </c>
      <c r="G4132" s="123" t="s">
        <v>375</v>
      </c>
      <c r="H4132" s="179">
        <v>419</v>
      </c>
      <c r="I4132" s="177" t="s">
        <v>292</v>
      </c>
      <c r="J4132" s="38" t="s">
        <v>883</v>
      </c>
      <c r="K4132" s="38"/>
      <c r="L4132" s="389"/>
      <c r="M4132" s="419"/>
      <c r="N4132" s="420"/>
      <c r="O4132" s="49"/>
      <c r="P4132" s="412"/>
      <c r="Q4132" s="391"/>
      <c r="R4132" s="393"/>
      <c r="S4132" s="49"/>
    </row>
    <row r="4133" spans="1:19" s="128" customFormat="1" ht="30" customHeight="1" x14ac:dyDescent="0.25">
      <c r="A4133" s="48" t="s">
        <v>529</v>
      </c>
      <c r="B4133" s="394" t="s">
        <v>560</v>
      </c>
      <c r="C4133" s="395"/>
      <c r="D4133" s="396"/>
      <c r="E4133" s="397" t="s">
        <v>519</v>
      </c>
      <c r="F4133" s="397" t="s">
        <v>561</v>
      </c>
      <c r="G4133" s="398" t="s">
        <v>562</v>
      </c>
      <c r="H4133" s="399"/>
      <c r="I4133" s="181" t="s">
        <v>530</v>
      </c>
      <c r="J4133" s="181"/>
      <c r="K4133" s="493" t="s">
        <v>521</v>
      </c>
      <c r="L4133" s="494"/>
      <c r="M4133" s="670"/>
      <c r="N4133" s="420"/>
      <c r="O4133"/>
      <c r="P4133" s="412"/>
      <c r="Q4133" s="391"/>
      <c r="R4133" s="393"/>
      <c r="S4133"/>
    </row>
    <row r="4134" spans="1:19" ht="30" customHeight="1" x14ac:dyDescent="0.25">
      <c r="A4134" s="61" t="s">
        <v>2636</v>
      </c>
      <c r="B4134" s="402" t="s">
        <v>2637</v>
      </c>
      <c r="C4134" s="403"/>
      <c r="D4134" s="404"/>
      <c r="E4134" s="760">
        <v>14500</v>
      </c>
      <c r="F4134" s="22" t="s">
        <v>11</v>
      </c>
      <c r="G4134" s="1543">
        <f>+H4132</f>
        <v>419</v>
      </c>
      <c r="H4134" s="758" t="s">
        <v>2638</v>
      </c>
      <c r="I4134" s="20">
        <v>1.06</v>
      </c>
      <c r="J4134" s="22"/>
      <c r="K4134" s="23">
        <f>+E4134/G4134*I4134</f>
        <v>36.682577565632464</v>
      </c>
      <c r="L4134" s="22" t="s">
        <v>231</v>
      </c>
      <c r="M4134" s="670"/>
      <c r="N4134" s="420"/>
      <c r="O4134" s="43"/>
      <c r="P4134" s="672"/>
      <c r="Q4134" s="671"/>
      <c r="R4134" s="673"/>
    </row>
    <row r="4135" spans="1:19" ht="30" customHeight="1" x14ac:dyDescent="0.25">
      <c r="A4135" s="61"/>
      <c r="B4135" s="410"/>
      <c r="C4135" s="410"/>
      <c r="D4135" s="410"/>
      <c r="E4135" s="405"/>
      <c r="F4135" s="338" t="s">
        <v>533</v>
      </c>
      <c r="G4135" s="339" t="s">
        <v>534</v>
      </c>
      <c r="H4135" s="339"/>
      <c r="I4135" s="339"/>
      <c r="J4135" s="339"/>
      <c r="K4135" s="340">
        <v>1.07</v>
      </c>
      <c r="L4135" s="10"/>
      <c r="M4135" s="419"/>
      <c r="N4135" s="671"/>
      <c r="O4135" s="43"/>
      <c r="P4135" s="672"/>
      <c r="Q4135" s="671"/>
      <c r="R4135" s="673"/>
    </row>
    <row r="4136" spans="1:19" s="128" customFormat="1" ht="30" customHeight="1" x14ac:dyDescent="0.25">
      <c r="A4136" s="61"/>
      <c r="B4136" s="410"/>
      <c r="C4136" s="410"/>
      <c r="D4136" s="410"/>
      <c r="E4136" s="405"/>
      <c r="F4136" s="343"/>
      <c r="G4136" s="344" t="s">
        <v>535</v>
      </c>
      <c r="H4136" s="344"/>
      <c r="I4136" s="344"/>
      <c r="J4136" s="344"/>
      <c r="K4136" s="340">
        <v>1.02</v>
      </c>
      <c r="L4136" s="10"/>
      <c r="M4136" s="419"/>
      <c r="N4136" s="671"/>
      <c r="O4136"/>
      <c r="P4136" s="412"/>
      <c r="Q4136" s="391"/>
      <c r="R4136" s="393"/>
      <c r="S4136"/>
    </row>
    <row r="4137" spans="1:19" s="128" customFormat="1" ht="30" customHeight="1" x14ac:dyDescent="0.25">
      <c r="A4137" s="61"/>
      <c r="B4137" s="523"/>
      <c r="C4137" s="524"/>
      <c r="D4137" s="407"/>
      <c r="E4137" s="760"/>
      <c r="F4137" s="22"/>
      <c r="G4137" s="1535"/>
      <c r="H4137" s="758"/>
      <c r="I4137" s="20"/>
      <c r="J4137" s="20" t="s">
        <v>358</v>
      </c>
      <c r="K4137" s="23">
        <f>+K4134*K4135/K4136</f>
        <v>38.480743132575228</v>
      </c>
      <c r="L4137" s="20" t="s">
        <v>231</v>
      </c>
      <c r="M4137" s="419"/>
      <c r="N4137" s="420"/>
      <c r="O4137"/>
      <c r="P4137" s="412"/>
      <c r="Q4137" s="391"/>
      <c r="R4137" s="393"/>
      <c r="S4137"/>
    </row>
    <row r="4138" spans="1:19" s="128" customFormat="1" ht="30" customHeight="1" thickBot="1" x14ac:dyDescent="0.3">
      <c r="A4138" s="61"/>
      <c r="B4138" s="20"/>
      <c r="C4138" s="18"/>
      <c r="D4138" s="18"/>
      <c r="E4138" s="18"/>
      <c r="F4138" s="18"/>
      <c r="G4138" s="413" t="s">
        <v>537</v>
      </c>
      <c r="H4138" s="18"/>
      <c r="I4138" s="18"/>
      <c r="J4138" s="361">
        <f>VLOOKUP(B4132,'Mil Cost Premiums for RUCs'!$A$4:$R$265,18,FALSE)</f>
        <v>1.1199953840399997</v>
      </c>
      <c r="K4138" s="23">
        <f>+K4137*J4138</f>
        <v>43.098254682913172</v>
      </c>
      <c r="L4138" s="20" t="s">
        <v>231</v>
      </c>
      <c r="M4138" s="419"/>
      <c r="N4138" s="420"/>
      <c r="O4138"/>
      <c r="P4138" s="412"/>
      <c r="Q4138" s="391"/>
      <c r="R4138" s="393"/>
      <c r="S4138"/>
    </row>
    <row r="4139" spans="1:19" s="128" customFormat="1" ht="30" customHeight="1" thickBot="1" x14ac:dyDescent="0.3">
      <c r="A4139" s="76"/>
      <c r="B4139" s="77"/>
      <c r="C4139" s="77"/>
      <c r="D4139" s="77"/>
      <c r="E4139" s="77"/>
      <c r="F4139" s="77"/>
      <c r="G4139" s="77"/>
      <c r="H4139" s="77"/>
      <c r="I4139" s="77"/>
      <c r="J4139" s="77"/>
      <c r="K4139" s="77"/>
      <c r="L4139" s="78"/>
      <c r="M4139" s="425"/>
      <c r="N4139" s="1603"/>
      <c r="O4139"/>
      <c r="P4139" s="412"/>
      <c r="Q4139" s="391"/>
      <c r="R4139" s="393"/>
      <c r="S4139"/>
    </row>
    <row r="4140" spans="1:19" s="128" customFormat="1" ht="30" customHeight="1" x14ac:dyDescent="0.25">
      <c r="A4140" s="30" t="s">
        <v>288</v>
      </c>
      <c r="B4140" s="208">
        <v>8314</v>
      </c>
      <c r="C4140" s="209" t="s">
        <v>2639</v>
      </c>
      <c r="D4140" s="210"/>
      <c r="E4140" s="177" t="s">
        <v>291</v>
      </c>
      <c r="F4140" s="178" t="s">
        <v>6</v>
      </c>
      <c r="G4140" s="123" t="s">
        <v>375</v>
      </c>
      <c r="H4140" s="179">
        <v>16234</v>
      </c>
      <c r="I4140" s="177" t="s">
        <v>292</v>
      </c>
      <c r="J4140" s="38" t="s">
        <v>883</v>
      </c>
      <c r="K4140" s="38"/>
      <c r="L4140" s="389"/>
      <c r="M4140" s="419"/>
      <c r="N4140" s="1603"/>
      <c r="O4140"/>
      <c r="P4140" s="412"/>
      <c r="Q4140" s="391"/>
      <c r="R4140" s="393"/>
      <c r="S4140"/>
    </row>
    <row r="4141" spans="1:19" s="128" customFormat="1" ht="30" customHeight="1" x14ac:dyDescent="0.25">
      <c r="A4141" s="48" t="s">
        <v>529</v>
      </c>
      <c r="B4141" s="394" t="s">
        <v>560</v>
      </c>
      <c r="C4141" s="395"/>
      <c r="D4141" s="396"/>
      <c r="E4141" s="397" t="s">
        <v>519</v>
      </c>
      <c r="F4141" s="397" t="s">
        <v>561</v>
      </c>
      <c r="G4141" s="398" t="s">
        <v>562</v>
      </c>
      <c r="H4141" s="399"/>
      <c r="I4141" s="181" t="s">
        <v>530</v>
      </c>
      <c r="J4141" s="181"/>
      <c r="K4141" s="493" t="s">
        <v>521</v>
      </c>
      <c r="L4141" s="494"/>
      <c r="M4141" s="670"/>
      <c r="N4141" s="420"/>
      <c r="O4141"/>
      <c r="P4141" s="412"/>
      <c r="Q4141" s="391"/>
      <c r="R4141" s="393"/>
      <c r="S4141"/>
    </row>
    <row r="4142" spans="1:19" s="128" customFormat="1" ht="30" customHeight="1" x14ac:dyDescent="0.25">
      <c r="A4142" s="61" t="s">
        <v>815</v>
      </c>
      <c r="B4142" s="523" t="s">
        <v>2640</v>
      </c>
      <c r="C4142" s="524"/>
      <c r="D4142" s="407"/>
      <c r="E4142" s="760">
        <f>+(15200+18900)/2</f>
        <v>17050</v>
      </c>
      <c r="F4142" s="22" t="s">
        <v>11</v>
      </c>
      <c r="G4142" s="1544">
        <v>10000</v>
      </c>
      <c r="H4142" s="758" t="s">
        <v>1808</v>
      </c>
      <c r="I4142" s="20">
        <v>1.04</v>
      </c>
      <c r="J4142" s="22"/>
      <c r="K4142" s="23">
        <f>+E4142/G4142*I4142</f>
        <v>1.7732000000000001</v>
      </c>
      <c r="L4142" s="22" t="s">
        <v>6</v>
      </c>
      <c r="M4142" s="670"/>
      <c r="N4142" s="420"/>
      <c r="O4142"/>
      <c r="P4142" s="412"/>
      <c r="Q4142" s="391"/>
      <c r="R4142" s="393"/>
      <c r="S4142"/>
    </row>
    <row r="4143" spans="1:19" s="128" customFormat="1" ht="30" customHeight="1" x14ac:dyDescent="0.25">
      <c r="A4143" s="61" t="s">
        <v>815</v>
      </c>
      <c r="B4143" s="523" t="s">
        <v>2641</v>
      </c>
      <c r="C4143" s="524"/>
      <c r="D4143" s="407"/>
      <c r="E4143" s="760">
        <f>+E4142*1.25</f>
        <v>21312.5</v>
      </c>
      <c r="F4143" s="22" t="s">
        <v>11</v>
      </c>
      <c r="G4143" s="1544">
        <v>10000</v>
      </c>
      <c r="H4143" s="758" t="s">
        <v>1808</v>
      </c>
      <c r="I4143" s="20">
        <v>1.04</v>
      </c>
      <c r="J4143" s="22"/>
      <c r="K4143" s="23">
        <f>+E4143/G4143*I4143</f>
        <v>2.2165000000000004</v>
      </c>
      <c r="L4143" s="22" t="s">
        <v>6</v>
      </c>
      <c r="M4143" s="419"/>
      <c r="N4143" s="671"/>
      <c r="O4143"/>
      <c r="P4143" s="412"/>
      <c r="Q4143" s="391"/>
      <c r="R4143" s="393"/>
      <c r="S4143"/>
    </row>
    <row r="4144" spans="1:19" s="128" customFormat="1" ht="30" customHeight="1" x14ac:dyDescent="0.25">
      <c r="A4144" s="61" t="s">
        <v>815</v>
      </c>
      <c r="B4144" s="523" t="s">
        <v>2642</v>
      </c>
      <c r="C4144" s="989"/>
      <c r="D4144" s="990"/>
      <c r="E4144" s="760">
        <f>+(5450+12500)/2</f>
        <v>8975</v>
      </c>
      <c r="F4144" s="22" t="s">
        <v>11</v>
      </c>
      <c r="G4144" s="1544">
        <v>10000</v>
      </c>
      <c r="H4144" s="758" t="s">
        <v>1808</v>
      </c>
      <c r="I4144" s="20">
        <v>1.04</v>
      </c>
      <c r="J4144" s="22"/>
      <c r="K4144" s="23">
        <f>+E4144/G4144*I4144</f>
        <v>0.93340000000000001</v>
      </c>
      <c r="L4144" s="22" t="s">
        <v>6</v>
      </c>
      <c r="M4144" s="419"/>
      <c r="N4144" s="671"/>
      <c r="O4144"/>
      <c r="P4144" s="412"/>
      <c r="Q4144" s="391"/>
      <c r="R4144" s="393"/>
      <c r="S4144"/>
    </row>
    <row r="4145" spans="1:19" s="128" customFormat="1" ht="30" customHeight="1" x14ac:dyDescent="0.25">
      <c r="A4145" s="1334"/>
      <c r="B4145" s="186"/>
      <c r="C4145" s="186"/>
      <c r="D4145" s="186"/>
      <c r="E4145" s="405"/>
      <c r="F4145" s="20"/>
      <c r="G4145" s="20"/>
      <c r="H4145" s="20"/>
      <c r="I4145" s="20"/>
      <c r="J4145" s="20" t="s">
        <v>578</v>
      </c>
      <c r="K4145" s="405">
        <f>SUM(K4142:K4144)</f>
        <v>4.9231000000000007</v>
      </c>
      <c r="L4145" s="20" t="s">
        <v>6</v>
      </c>
      <c r="M4145" s="419"/>
      <c r="N4145" s="420"/>
      <c r="O4145"/>
      <c r="P4145" s="412"/>
      <c r="Q4145" s="391"/>
      <c r="R4145" s="393"/>
      <c r="S4145"/>
    </row>
    <row r="4146" spans="1:19" s="128" customFormat="1" ht="30" customHeight="1" x14ac:dyDescent="0.25">
      <c r="A4146" s="61"/>
      <c r="B4146" s="410"/>
      <c r="C4146" s="410"/>
      <c r="D4146" s="410"/>
      <c r="E4146" s="405"/>
      <c r="F4146" s="338" t="s">
        <v>533</v>
      </c>
      <c r="G4146" s="339" t="s">
        <v>534</v>
      </c>
      <c r="H4146" s="339"/>
      <c r="I4146" s="339"/>
      <c r="J4146" s="339"/>
      <c r="K4146" s="340">
        <v>1.07</v>
      </c>
      <c r="L4146" s="10"/>
      <c r="M4146" s="419"/>
      <c r="N4146" s="420"/>
      <c r="O4146"/>
      <c r="P4146" s="412"/>
      <c r="Q4146" s="391"/>
      <c r="R4146" s="393"/>
      <c r="S4146"/>
    </row>
    <row r="4147" spans="1:19" ht="30" customHeight="1" x14ac:dyDescent="0.25">
      <c r="A4147" s="61"/>
      <c r="B4147" s="410"/>
      <c r="C4147" s="410"/>
      <c r="D4147" s="410"/>
      <c r="E4147" s="405"/>
      <c r="F4147" s="343"/>
      <c r="G4147" s="344" t="s">
        <v>535</v>
      </c>
      <c r="H4147" s="344"/>
      <c r="I4147" s="344"/>
      <c r="J4147" s="344"/>
      <c r="K4147" s="340">
        <v>1.02</v>
      </c>
      <c r="L4147" s="10"/>
      <c r="M4147" s="419"/>
      <c r="N4147" s="420"/>
      <c r="O4147" s="128"/>
      <c r="P4147" s="713"/>
      <c r="Q4147" s="712"/>
      <c r="R4147" s="714"/>
      <c r="S4147" s="128"/>
    </row>
    <row r="4148" spans="1:19" ht="30" customHeight="1" x14ac:dyDescent="0.25">
      <c r="A4148" s="61"/>
      <c r="B4148" s="20"/>
      <c r="C4148" s="18"/>
      <c r="D4148" s="18"/>
      <c r="E4148" s="18"/>
      <c r="F4148" s="18"/>
      <c r="G4148" s="18"/>
      <c r="H4148" s="18"/>
      <c r="I4148" s="18"/>
      <c r="J4148" s="20" t="s">
        <v>358</v>
      </c>
      <c r="K4148" s="23">
        <f>+K4145*K4146/K4147</f>
        <v>5.1644284313725501</v>
      </c>
      <c r="L4148" s="20" t="s">
        <v>6</v>
      </c>
      <c r="M4148" s="419"/>
      <c r="N4148" s="420"/>
      <c r="O4148" s="128"/>
      <c r="P4148" s="713"/>
      <c r="Q4148" s="712"/>
      <c r="R4148" s="714"/>
    </row>
    <row r="4149" spans="1:19" ht="30" customHeight="1" thickBot="1" x14ac:dyDescent="0.3">
      <c r="A4149" s="61"/>
      <c r="B4149" s="20"/>
      <c r="C4149" s="18"/>
      <c r="D4149" s="18"/>
      <c r="E4149" s="18"/>
      <c r="F4149" s="18"/>
      <c r="G4149" s="413" t="s">
        <v>537</v>
      </c>
      <c r="H4149" s="18"/>
      <c r="I4149" s="18"/>
      <c r="J4149" s="361">
        <f>VLOOKUP(B4140,'Mil Cost Premiums for RUCs'!$A$4:$R$265,18,FALSE)</f>
        <v>1.0905505199999999</v>
      </c>
      <c r="K4149" s="23">
        <f>+K4148*J4149</f>
        <v>5.6320701113361178</v>
      </c>
      <c r="L4149" s="20" t="s">
        <v>6</v>
      </c>
      <c r="M4149" s="419"/>
      <c r="N4149" s="420"/>
      <c r="O4149"/>
      <c r="P4149" s="412"/>
      <c r="Q4149" s="391"/>
      <c r="R4149" s="393"/>
    </row>
    <row r="4150" spans="1:19" s="1533" customFormat="1" ht="30" customHeight="1" thickBot="1" x14ac:dyDescent="0.3">
      <c r="A4150" s="76"/>
      <c r="B4150" s="77"/>
      <c r="C4150" s="77"/>
      <c r="D4150" s="77"/>
      <c r="E4150" s="77"/>
      <c r="F4150" s="77"/>
      <c r="G4150" s="77"/>
      <c r="H4150" s="77"/>
      <c r="I4150" s="77"/>
      <c r="J4150" s="77"/>
      <c r="K4150" s="77"/>
      <c r="L4150" s="78"/>
      <c r="M4150" s="419"/>
      <c r="N4150" s="420"/>
      <c r="O4150" s="49"/>
      <c r="P4150" s="412"/>
      <c r="Q4150" s="391"/>
      <c r="R4150" s="393"/>
      <c r="S4150" s="49"/>
    </row>
    <row r="4151" spans="1:19" s="128" customFormat="1" ht="30" customHeight="1" x14ac:dyDescent="0.25">
      <c r="A4151" s="30" t="s">
        <v>288</v>
      </c>
      <c r="B4151" s="208">
        <v>8315</v>
      </c>
      <c r="C4151" s="209" t="s">
        <v>2643</v>
      </c>
      <c r="D4151" s="210"/>
      <c r="E4151" s="177" t="s">
        <v>291</v>
      </c>
      <c r="F4151" s="178" t="s">
        <v>6</v>
      </c>
      <c r="G4151" s="123" t="s">
        <v>375</v>
      </c>
      <c r="H4151" s="179">
        <v>977317</v>
      </c>
      <c r="I4151" s="177" t="s">
        <v>292</v>
      </c>
      <c r="J4151" s="747" t="s">
        <v>641</v>
      </c>
      <c r="K4151" s="747"/>
      <c r="L4151" s="748"/>
      <c r="M4151" s="419"/>
      <c r="N4151" s="420"/>
      <c r="O4151"/>
      <c r="P4151" s="412"/>
      <c r="Q4151" s="391"/>
      <c r="R4151" s="393"/>
      <c r="S4151"/>
    </row>
    <row r="4152" spans="1:19" ht="30" customHeight="1" x14ac:dyDescent="0.25">
      <c r="A4152" s="48" t="s">
        <v>529</v>
      </c>
      <c r="B4152" s="394" t="s">
        <v>560</v>
      </c>
      <c r="C4152" s="395"/>
      <c r="D4152" s="396"/>
      <c r="E4152" s="397" t="s">
        <v>519</v>
      </c>
      <c r="F4152" s="397" t="s">
        <v>561</v>
      </c>
      <c r="G4152" s="398" t="s">
        <v>562</v>
      </c>
      <c r="H4152" s="399"/>
      <c r="I4152" s="181" t="s">
        <v>530</v>
      </c>
      <c r="J4152" s="181"/>
      <c r="K4152" s="493" t="s">
        <v>521</v>
      </c>
      <c r="L4152" s="494"/>
      <c r="M4152" s="419"/>
      <c r="N4152" s="420"/>
      <c r="O4152" s="43"/>
      <c r="P4152" s="672"/>
      <c r="Q4152" s="671"/>
      <c r="R4152" s="673"/>
    </row>
    <row r="4153" spans="1:19" ht="30" customHeight="1" x14ac:dyDescent="0.25">
      <c r="A4153" s="61" t="s">
        <v>2644</v>
      </c>
      <c r="B4153" s="523" t="s">
        <v>2645</v>
      </c>
      <c r="C4153" s="524"/>
      <c r="D4153" s="407"/>
      <c r="E4153" s="760">
        <f>+(1.63+2.22)/2</f>
        <v>1.925</v>
      </c>
      <c r="F4153" s="22" t="s">
        <v>212</v>
      </c>
      <c r="G4153" s="1545">
        <v>7.48</v>
      </c>
      <c r="H4153" s="758" t="s">
        <v>2646</v>
      </c>
      <c r="I4153" s="20">
        <v>1.06</v>
      </c>
      <c r="J4153" s="22"/>
      <c r="K4153" s="23">
        <f>+E4153/G4153*I4153</f>
        <v>0.2727941176470588</v>
      </c>
      <c r="L4153" s="22" t="s">
        <v>6</v>
      </c>
      <c r="M4153" s="419"/>
      <c r="N4153" s="420"/>
      <c r="O4153" s="43"/>
      <c r="P4153" s="672"/>
      <c r="Q4153" s="671"/>
      <c r="R4153" s="673"/>
    </row>
    <row r="4154" spans="1:19" s="128" customFormat="1" ht="30" customHeight="1" x14ac:dyDescent="0.25">
      <c r="A4154" s="61" t="s">
        <v>2644</v>
      </c>
      <c r="B4154" s="523" t="s">
        <v>2647</v>
      </c>
      <c r="C4154" s="524"/>
      <c r="D4154" s="407"/>
      <c r="E4154" s="760">
        <f>+(9850+26900)/2</f>
        <v>18375</v>
      </c>
      <c r="F4154" s="22" t="s">
        <v>11</v>
      </c>
      <c r="G4154" s="1544">
        <f>+H4151</f>
        <v>977317</v>
      </c>
      <c r="H4154" s="758" t="s">
        <v>2648</v>
      </c>
      <c r="I4154" s="20">
        <v>1.06</v>
      </c>
      <c r="J4154" s="22"/>
      <c r="K4154" s="23">
        <f>+E4154/G4154*I4154</f>
        <v>1.9929562260760838E-2</v>
      </c>
      <c r="L4154" s="22" t="s">
        <v>6</v>
      </c>
      <c r="M4154" s="419"/>
      <c r="N4154" s="420"/>
      <c r="O4154"/>
      <c r="P4154" s="412"/>
      <c r="Q4154" s="391"/>
      <c r="R4154" s="393"/>
      <c r="S4154"/>
    </row>
    <row r="4155" spans="1:19" ht="30" customHeight="1" x14ac:dyDescent="0.25">
      <c r="A4155" s="1334"/>
      <c r="B4155" s="186"/>
      <c r="C4155" s="186"/>
      <c r="D4155" s="186"/>
      <c r="E4155" s="405"/>
      <c r="F4155" s="20"/>
      <c r="G4155" s="20"/>
      <c r="H4155" s="20"/>
      <c r="I4155" s="20"/>
      <c r="J4155" s="20" t="s">
        <v>578</v>
      </c>
      <c r="K4155" s="405">
        <f>SUM(K4153:K4154)</f>
        <v>0.29272367990781961</v>
      </c>
      <c r="L4155" s="20" t="s">
        <v>6</v>
      </c>
      <c r="M4155" s="419"/>
      <c r="N4155" s="420"/>
      <c r="O4155"/>
      <c r="P4155" s="412"/>
      <c r="Q4155" s="391"/>
      <c r="R4155" s="393"/>
      <c r="S4155" s="128"/>
    </row>
    <row r="4156" spans="1:19" ht="30" customHeight="1" x14ac:dyDescent="0.25">
      <c r="A4156" s="61"/>
      <c r="B4156" s="410"/>
      <c r="C4156" s="410"/>
      <c r="D4156" s="410"/>
      <c r="E4156" s="405"/>
      <c r="F4156" s="338" t="s">
        <v>533</v>
      </c>
      <c r="G4156" s="339" t="s">
        <v>534</v>
      </c>
      <c r="H4156" s="339"/>
      <c r="I4156" s="339"/>
      <c r="J4156" s="339"/>
      <c r="K4156" s="340">
        <v>1.07</v>
      </c>
      <c r="L4156" s="10"/>
      <c r="M4156" s="419"/>
      <c r="N4156" s="420"/>
      <c r="O4156"/>
      <c r="P4156" s="412"/>
      <c r="Q4156" s="391"/>
      <c r="R4156" s="393"/>
    </row>
    <row r="4157" spans="1:19" ht="30" customHeight="1" x14ac:dyDescent="0.25">
      <c r="A4157" s="61"/>
      <c r="B4157" s="410"/>
      <c r="C4157" s="410"/>
      <c r="D4157" s="410"/>
      <c r="E4157" s="405"/>
      <c r="F4157" s="343"/>
      <c r="G4157" s="344" t="s">
        <v>535</v>
      </c>
      <c r="H4157" s="344"/>
      <c r="I4157" s="344"/>
      <c r="J4157" s="344"/>
      <c r="K4157" s="340">
        <v>1.02</v>
      </c>
      <c r="L4157" s="10"/>
      <c r="M4157" s="425"/>
      <c r="N4157" s="420"/>
      <c r="O4157"/>
      <c r="P4157" s="412"/>
      <c r="Q4157" s="391"/>
      <c r="R4157" s="393"/>
    </row>
    <row r="4158" spans="1:19" s="1533" customFormat="1" ht="30" customHeight="1" x14ac:dyDescent="0.25">
      <c r="A4158" s="61"/>
      <c r="B4158" s="20"/>
      <c r="C4158" s="18"/>
      <c r="D4158" s="18"/>
      <c r="E4158" s="18"/>
      <c r="F4158" s="18"/>
      <c r="G4158" s="18"/>
      <c r="H4158" s="18"/>
      <c r="I4158" s="18"/>
      <c r="J4158" s="20" t="s">
        <v>358</v>
      </c>
      <c r="K4158" s="23">
        <f>+K4155*K4156/K4157</f>
        <v>0.30707287990330101</v>
      </c>
      <c r="L4158" s="20" t="s">
        <v>6</v>
      </c>
      <c r="M4158" s="419"/>
      <c r="N4158" s="1603"/>
      <c r="O4158" s="49"/>
      <c r="P4158" s="412"/>
      <c r="Q4158" s="391"/>
      <c r="R4158" s="393"/>
      <c r="S4158" s="49"/>
    </row>
    <row r="4159" spans="1:19" s="128" customFormat="1" ht="30" customHeight="1" thickBot="1" x14ac:dyDescent="0.3">
      <c r="A4159" s="61"/>
      <c r="B4159" s="20"/>
      <c r="C4159" s="18"/>
      <c r="D4159" s="18"/>
      <c r="E4159" s="18"/>
      <c r="F4159" s="18"/>
      <c r="G4159" s="413" t="s">
        <v>537</v>
      </c>
      <c r="H4159" s="18"/>
      <c r="I4159" s="18"/>
      <c r="J4159" s="361">
        <f>VLOOKUP(B4151,'Mil Cost Premiums for RUCs'!$A$4:$R$265,18,FALSE)</f>
        <v>1.0905505199999999</v>
      </c>
      <c r="K4159" s="23">
        <f>+K4158*J4159</f>
        <v>0.33487848885644245</v>
      </c>
      <c r="L4159" s="20" t="s">
        <v>6</v>
      </c>
      <c r="M4159" s="670"/>
      <c r="N4159" s="1603"/>
      <c r="O4159"/>
      <c r="P4159" s="412"/>
      <c r="Q4159" s="391"/>
      <c r="R4159" s="393"/>
      <c r="S4159"/>
    </row>
    <row r="4160" spans="1:19" ht="30" customHeight="1" thickBot="1" x14ac:dyDescent="0.3">
      <c r="A4160" s="76"/>
      <c r="B4160" s="77"/>
      <c r="C4160" s="77"/>
      <c r="D4160" s="77"/>
      <c r="E4160" s="77"/>
      <c r="F4160" s="77"/>
      <c r="G4160" s="77"/>
      <c r="H4160" s="77"/>
      <c r="I4160" s="77"/>
      <c r="J4160" s="77"/>
      <c r="K4160" s="77"/>
      <c r="L4160" s="78"/>
      <c r="M4160" s="670"/>
      <c r="N4160" s="420"/>
      <c r="O4160" s="43"/>
      <c r="P4160" s="672"/>
      <c r="Q4160" s="671"/>
      <c r="R4160" s="673"/>
    </row>
    <row r="4161" spans="1:19" ht="30" customHeight="1" x14ac:dyDescent="0.25">
      <c r="A4161" s="207" t="s">
        <v>288</v>
      </c>
      <c r="B4161" s="208">
        <v>8316</v>
      </c>
      <c r="C4161" s="282" t="s">
        <v>2649</v>
      </c>
      <c r="D4161" s="283"/>
      <c r="E4161" s="177" t="s">
        <v>291</v>
      </c>
      <c r="F4161" s="178" t="s">
        <v>11</v>
      </c>
      <c r="G4161" s="250" t="s">
        <v>290</v>
      </c>
      <c r="H4161" s="302">
        <v>1</v>
      </c>
      <c r="I4161" s="177" t="s">
        <v>292</v>
      </c>
      <c r="J4161" s="38" t="s">
        <v>623</v>
      </c>
      <c r="K4161" s="38"/>
      <c r="L4161" s="389"/>
      <c r="M4161" s="419"/>
      <c r="N4161" s="671"/>
      <c r="O4161" s="43"/>
      <c r="P4161" s="672"/>
      <c r="Q4161" s="671"/>
      <c r="R4161" s="673"/>
    </row>
    <row r="4162" spans="1:19" s="128" customFormat="1" ht="30" customHeight="1" x14ac:dyDescent="0.25">
      <c r="A4162" s="181" t="s">
        <v>517</v>
      </c>
      <c r="B4162" s="180" t="s">
        <v>295</v>
      </c>
      <c r="C4162" s="180"/>
      <c r="D4162" s="180"/>
      <c r="E4162" s="285" t="s">
        <v>519</v>
      </c>
      <c r="F4162" s="793" t="s">
        <v>561</v>
      </c>
      <c r="G4162" s="665" t="s">
        <v>562</v>
      </c>
      <c r="H4162" s="666"/>
      <c r="I4162" s="286" t="s">
        <v>702</v>
      </c>
      <c r="J4162" s="287"/>
      <c r="K4162" s="493" t="s">
        <v>521</v>
      </c>
      <c r="L4162" s="494"/>
      <c r="M4162" s="419"/>
      <c r="N4162" s="671"/>
      <c r="O4162"/>
      <c r="P4162" s="412"/>
      <c r="Q4162" s="391"/>
      <c r="R4162" s="393"/>
      <c r="S4162"/>
    </row>
    <row r="4163" spans="1:19" ht="30" customHeight="1" x14ac:dyDescent="0.25">
      <c r="A4163" s="20">
        <v>83150</v>
      </c>
      <c r="B4163" s="503" t="s">
        <v>2650</v>
      </c>
      <c r="C4163" s="504"/>
      <c r="D4163" s="505"/>
      <c r="E4163" s="405">
        <v>333560</v>
      </c>
      <c r="F4163" s="729" t="s">
        <v>11</v>
      </c>
      <c r="G4163" s="730"/>
      <c r="H4163" s="649"/>
      <c r="I4163" s="1109">
        <f>+'MILCON Inflation Table'!$F$17</f>
        <v>0.9432470865927236</v>
      </c>
      <c r="J4163" s="1110"/>
      <c r="K4163" s="304">
        <f>+E4163*I4163</f>
        <v>314629.49820386886</v>
      </c>
      <c r="L4163" s="290" t="s">
        <v>11</v>
      </c>
      <c r="M4163" s="419"/>
      <c r="N4163" s="420"/>
      <c r="O4163"/>
      <c r="P4163" s="412"/>
      <c r="Q4163" s="391"/>
      <c r="R4163" s="393"/>
      <c r="S4163" s="128"/>
    </row>
    <row r="4164" spans="1:19" ht="30" customHeight="1" x14ac:dyDescent="0.25">
      <c r="A4164" s="20">
        <v>83150</v>
      </c>
      <c r="B4164" s="503" t="s">
        <v>2651</v>
      </c>
      <c r="C4164" s="504"/>
      <c r="D4164" s="505"/>
      <c r="E4164" s="405">
        <v>290630</v>
      </c>
      <c r="F4164" s="729" t="s">
        <v>11</v>
      </c>
      <c r="G4164" s="730"/>
      <c r="H4164" s="649"/>
      <c r="I4164" s="1109">
        <f>+'MILCON Inflation Table'!$F$17</f>
        <v>0.9432470865927236</v>
      </c>
      <c r="J4164" s="1110"/>
      <c r="K4164" s="304">
        <f>+E4164*I4164</f>
        <v>274135.90077644325</v>
      </c>
      <c r="L4164" s="290" t="s">
        <v>11</v>
      </c>
      <c r="M4164" s="1546"/>
      <c r="N4164" s="420"/>
      <c r="O4164"/>
      <c r="P4164" s="412"/>
      <c r="Q4164" s="391"/>
      <c r="R4164" s="393"/>
    </row>
    <row r="4165" spans="1:19" ht="30" customHeight="1" x14ac:dyDescent="0.25">
      <c r="A4165" s="20">
        <v>83150</v>
      </c>
      <c r="B4165" s="503" t="s">
        <v>2652</v>
      </c>
      <c r="C4165" s="504"/>
      <c r="D4165" s="505"/>
      <c r="E4165" s="405">
        <v>373020</v>
      </c>
      <c r="F4165" s="729" t="s">
        <v>11</v>
      </c>
      <c r="G4165" s="730"/>
      <c r="H4165" s="649"/>
      <c r="I4165" s="1109">
        <f>+'MILCON Inflation Table'!$F$17</f>
        <v>0.9432470865927236</v>
      </c>
      <c r="J4165" s="1110"/>
      <c r="K4165" s="304">
        <f>+E4165*I4165</f>
        <v>351850.02824081777</v>
      </c>
      <c r="L4165" s="290" t="s">
        <v>11</v>
      </c>
      <c r="M4165" s="425"/>
      <c r="N4165" s="420"/>
      <c r="O4165" s="128"/>
      <c r="P4165" s="713"/>
      <c r="Q4165" s="712"/>
      <c r="R4165" s="714"/>
    </row>
    <row r="4166" spans="1:19" s="49" customFormat="1" ht="30" customHeight="1" x14ac:dyDescent="0.25">
      <c r="A4166" s="20"/>
      <c r="B4166" s="523"/>
      <c r="C4166" s="524"/>
      <c r="D4166" s="407"/>
      <c r="E4166" s="682"/>
      <c r="F4166" s="1124"/>
      <c r="G4166" s="657"/>
      <c r="H4166" s="649"/>
      <c r="I4166" s="1127"/>
      <c r="J4166" s="764" t="s">
        <v>536</v>
      </c>
      <c r="K4166" s="304">
        <f>AVERAGE(K4163:K4165)</f>
        <v>313538.47574037663</v>
      </c>
      <c r="L4166" s="290" t="s">
        <v>11</v>
      </c>
      <c r="M4166" s="419"/>
      <c r="N4166" s="924"/>
      <c r="O4166" s="1533"/>
      <c r="P4166" s="713"/>
      <c r="Q4166" s="712"/>
      <c r="R4166" s="714"/>
    </row>
    <row r="4167" spans="1:19" ht="30" customHeight="1" thickBot="1" x14ac:dyDescent="0.3">
      <c r="A4167" s="20"/>
      <c r="B4167" s="503"/>
      <c r="C4167" s="504"/>
      <c r="D4167" s="505"/>
      <c r="E4167" s="465"/>
      <c r="F4167" s="763"/>
      <c r="G4167" s="465"/>
      <c r="H4167" s="764"/>
      <c r="I4167" s="18"/>
      <c r="J4167" s="185" t="s">
        <v>358</v>
      </c>
      <c r="K4167" s="305">
        <f>+K4166</f>
        <v>313538.47574037663</v>
      </c>
      <c r="L4167" s="290" t="s">
        <v>11</v>
      </c>
      <c r="M4167" s="670"/>
      <c r="N4167" s="420"/>
      <c r="O4167"/>
      <c r="P4167" s="412"/>
      <c r="Q4167" s="391"/>
      <c r="R4167" s="393"/>
    </row>
    <row r="4168" spans="1:19" s="128" customFormat="1" ht="30" customHeight="1" thickBot="1" x14ac:dyDescent="0.3">
      <c r="A4168" s="76"/>
      <c r="B4168" s="77"/>
      <c r="C4168" s="77"/>
      <c r="D4168" s="77"/>
      <c r="E4168" s="77"/>
      <c r="F4168" s="77"/>
      <c r="G4168" s="77"/>
      <c r="H4168" s="77"/>
      <c r="I4168" s="77"/>
      <c r="J4168" s="77"/>
      <c r="K4168" s="77"/>
      <c r="L4168" s="78"/>
      <c r="M4168" s="670"/>
      <c r="N4168" s="420"/>
      <c r="O4168"/>
      <c r="P4168" s="412"/>
      <c r="Q4168" s="391"/>
      <c r="R4168" s="393"/>
    </row>
    <row r="4169" spans="1:19" s="128" customFormat="1" ht="30" customHeight="1" x14ac:dyDescent="0.25">
      <c r="A4169" s="417" t="s">
        <v>288</v>
      </c>
      <c r="B4169" s="418">
        <v>8321</v>
      </c>
      <c r="C4169" s="415" t="s">
        <v>2653</v>
      </c>
      <c r="D4169" s="416"/>
      <c r="E4169" s="540" t="s">
        <v>291</v>
      </c>
      <c r="F4169" s="541" t="s">
        <v>7</v>
      </c>
      <c r="G4169" s="693" t="s">
        <v>2654</v>
      </c>
      <c r="H4169" s="600">
        <v>12674</v>
      </c>
      <c r="I4169" s="540" t="s">
        <v>292</v>
      </c>
      <c r="J4169" s="38" t="s">
        <v>883</v>
      </c>
      <c r="K4169" s="38"/>
      <c r="L4169" s="389"/>
      <c r="M4169" s="419"/>
      <c r="N4169" s="671"/>
      <c r="O4169"/>
      <c r="P4169" s="412"/>
      <c r="Q4169" s="391"/>
      <c r="R4169" s="393"/>
    </row>
    <row r="4170" spans="1:19" s="128" customFormat="1" ht="30" customHeight="1" x14ac:dyDescent="0.25">
      <c r="A4170" s="421" t="s">
        <v>529</v>
      </c>
      <c r="B4170" s="543" t="s">
        <v>560</v>
      </c>
      <c r="C4170" s="544"/>
      <c r="D4170" s="545"/>
      <c r="E4170" s="546" t="s">
        <v>519</v>
      </c>
      <c r="F4170" s="546" t="s">
        <v>561</v>
      </c>
      <c r="G4170" s="547" t="s">
        <v>562</v>
      </c>
      <c r="H4170" s="548"/>
      <c r="I4170" s="424" t="s">
        <v>530</v>
      </c>
      <c r="J4170" s="424"/>
      <c r="K4170" s="493" t="s">
        <v>521</v>
      </c>
      <c r="L4170" s="494"/>
      <c r="M4170" s="419"/>
      <c r="N4170" s="671"/>
      <c r="O4170"/>
      <c r="P4170" s="412"/>
      <c r="Q4170" s="391"/>
      <c r="R4170" s="393"/>
    </row>
    <row r="4171" spans="1:19" ht="30" customHeight="1" x14ac:dyDescent="0.25">
      <c r="A4171" s="10" t="s">
        <v>574</v>
      </c>
      <c r="B4171" s="323" t="s">
        <v>2655</v>
      </c>
      <c r="C4171" s="324"/>
      <c r="D4171" s="325"/>
      <c r="E4171" s="700">
        <v>19.55</v>
      </c>
      <c r="F4171" s="5" t="s">
        <v>7</v>
      </c>
      <c r="G4171" s="1547"/>
      <c r="H4171" s="698"/>
      <c r="I4171" s="10">
        <v>1.04</v>
      </c>
      <c r="J4171" s="5"/>
      <c r="K4171" s="14">
        <f>+E4171*I4171</f>
        <v>20.332000000000001</v>
      </c>
      <c r="L4171" s="5" t="s">
        <v>7</v>
      </c>
      <c r="M4171" s="419"/>
      <c r="N4171" s="420"/>
      <c r="O4171" s="43"/>
      <c r="P4171" s="672"/>
      <c r="Q4171" s="671"/>
      <c r="R4171" s="673"/>
    </row>
    <row r="4172" spans="1:19" ht="30" customHeight="1" x14ac:dyDescent="0.25">
      <c r="A4172" s="10" t="s">
        <v>574</v>
      </c>
      <c r="B4172" s="323" t="s">
        <v>2656</v>
      </c>
      <c r="C4172" s="324"/>
      <c r="D4172" s="325"/>
      <c r="E4172" s="700">
        <v>24.52</v>
      </c>
      <c r="F4172" s="5" t="s">
        <v>7</v>
      </c>
      <c r="G4172" s="1547"/>
      <c r="H4172" s="698"/>
      <c r="I4172" s="10">
        <v>1.04</v>
      </c>
      <c r="J4172" s="5"/>
      <c r="K4172" s="14">
        <f>+E4172*I4172</f>
        <v>25.500800000000002</v>
      </c>
      <c r="L4172" s="5" t="s">
        <v>7</v>
      </c>
      <c r="M4172" s="419"/>
      <c r="N4172" s="420"/>
      <c r="O4172" s="43"/>
      <c r="P4172" s="672"/>
      <c r="Q4172" s="671"/>
      <c r="R4172" s="673"/>
    </row>
    <row r="4173" spans="1:19" ht="30" customHeight="1" x14ac:dyDescent="0.25">
      <c r="A4173" s="10"/>
      <c r="B4173" s="334"/>
      <c r="C4173" s="335"/>
      <c r="D4173" s="336"/>
      <c r="E4173" s="700"/>
      <c r="F4173" s="5"/>
      <c r="G4173" s="441" t="s">
        <v>2657</v>
      </c>
      <c r="H4173" s="437"/>
      <c r="I4173" s="10"/>
      <c r="J4173" s="5"/>
      <c r="K4173" s="14">
        <f>AVERAGE(K4171:K4172)</f>
        <v>22.916400000000003</v>
      </c>
      <c r="L4173" s="5" t="s">
        <v>7</v>
      </c>
      <c r="M4173" s="425"/>
      <c r="N4173" s="420"/>
      <c r="O4173"/>
      <c r="P4173" s="412"/>
      <c r="Q4173" s="391"/>
      <c r="R4173" s="393"/>
    </row>
    <row r="4174" spans="1:19" ht="30" customHeight="1" x14ac:dyDescent="0.25">
      <c r="A4174" s="10" t="s">
        <v>574</v>
      </c>
      <c r="B4174" s="323" t="s">
        <v>2658</v>
      </c>
      <c r="C4174" s="324"/>
      <c r="D4174" s="325"/>
      <c r="E4174" s="700">
        <v>755</v>
      </c>
      <c r="F4174" s="5" t="s">
        <v>11</v>
      </c>
      <c r="G4174" s="1548">
        <f>1/60</f>
        <v>1.6666666666666666E-2</v>
      </c>
      <c r="H4174" s="698" t="s">
        <v>2659</v>
      </c>
      <c r="I4174" s="10">
        <v>1.04</v>
      </c>
      <c r="J4174" s="5"/>
      <c r="K4174" s="14">
        <f>+E4174*G4174*I4174</f>
        <v>13.086666666666668</v>
      </c>
      <c r="L4174" s="5" t="s">
        <v>7</v>
      </c>
      <c r="M4174" s="419"/>
      <c r="N4174" s="420"/>
      <c r="O4174" s="128"/>
      <c r="P4174" s="713"/>
      <c r="Q4174" s="712"/>
      <c r="R4174" s="714"/>
    </row>
    <row r="4175" spans="1:19" ht="30" customHeight="1" x14ac:dyDescent="0.25">
      <c r="A4175" s="10" t="s">
        <v>574</v>
      </c>
      <c r="B4175" s="323" t="s">
        <v>2660</v>
      </c>
      <c r="C4175" s="324"/>
      <c r="D4175" s="325"/>
      <c r="E4175" s="326">
        <v>2825</v>
      </c>
      <c r="F4175" s="5" t="s">
        <v>11</v>
      </c>
      <c r="G4175" s="1549">
        <f>1/400</f>
        <v>2.5000000000000001E-3</v>
      </c>
      <c r="H4175" s="698" t="s">
        <v>2661</v>
      </c>
      <c r="I4175" s="10">
        <v>1.04</v>
      </c>
      <c r="J4175" s="5"/>
      <c r="K4175" s="14">
        <f>+E4175*G4175*I4175</f>
        <v>7.3450000000000006</v>
      </c>
      <c r="L4175" s="5" t="s">
        <v>7</v>
      </c>
      <c r="M4175" s="419"/>
      <c r="N4175" s="420"/>
      <c r="O4175" s="128"/>
      <c r="P4175" s="713"/>
      <c r="Q4175" s="712"/>
      <c r="R4175" s="714"/>
    </row>
    <row r="4176" spans="1:19" ht="30" customHeight="1" x14ac:dyDescent="0.25">
      <c r="A4176" s="1345"/>
      <c r="B4176" s="551"/>
      <c r="C4176" s="551"/>
      <c r="D4176" s="551"/>
      <c r="E4176" s="326"/>
      <c r="F4176" s="10"/>
      <c r="G4176" s="10"/>
      <c r="H4176" s="10"/>
      <c r="I4176" s="10"/>
      <c r="J4176" s="10" t="s">
        <v>578</v>
      </c>
      <c r="K4176" s="326">
        <f>SUM(K4173:K4175)</f>
        <v>43.348066666666668</v>
      </c>
      <c r="L4176" s="10" t="s">
        <v>7</v>
      </c>
      <c r="M4176" s="419"/>
      <c r="N4176" s="1603"/>
      <c r="O4176"/>
      <c r="P4176" s="412"/>
      <c r="Q4176" s="391"/>
      <c r="R4176" s="393"/>
    </row>
    <row r="4177" spans="1:21" s="49" customFormat="1" ht="30" customHeight="1" x14ac:dyDescent="0.25">
      <c r="A4177" s="20"/>
      <c r="B4177" s="410"/>
      <c r="C4177" s="410"/>
      <c r="D4177" s="410"/>
      <c r="E4177" s="405"/>
      <c r="F4177" s="338" t="s">
        <v>533</v>
      </c>
      <c r="G4177" s="339" t="s">
        <v>534</v>
      </c>
      <c r="H4177" s="339"/>
      <c r="I4177" s="339"/>
      <c r="J4177" s="339"/>
      <c r="K4177" s="340">
        <v>1.07</v>
      </c>
      <c r="L4177" s="10"/>
      <c r="M4177" s="419"/>
      <c r="N4177" s="1603"/>
      <c r="P4177" s="412"/>
      <c r="Q4177" s="391"/>
      <c r="R4177" s="393"/>
    </row>
    <row r="4178" spans="1:21" ht="30" customHeight="1" x14ac:dyDescent="0.25">
      <c r="A4178" s="20"/>
      <c r="B4178" s="410"/>
      <c r="C4178" s="410"/>
      <c r="D4178" s="410"/>
      <c r="E4178" s="405"/>
      <c r="F4178" s="343"/>
      <c r="G4178" s="344" t="s">
        <v>535</v>
      </c>
      <c r="H4178" s="344"/>
      <c r="I4178" s="344"/>
      <c r="J4178" s="344"/>
      <c r="K4178" s="340">
        <v>1.02</v>
      </c>
      <c r="L4178" s="10"/>
      <c r="M4178" s="670"/>
      <c r="N4178" s="420"/>
      <c r="O4178"/>
      <c r="P4178" s="412"/>
      <c r="Q4178" s="391"/>
      <c r="R4178" s="393"/>
    </row>
    <row r="4179" spans="1:21" ht="30" customHeight="1" x14ac:dyDescent="0.25">
      <c r="A4179" s="10"/>
      <c r="B4179" s="10"/>
      <c r="C4179" s="13"/>
      <c r="D4179" s="13"/>
      <c r="E4179" s="13"/>
      <c r="F4179" s="13"/>
      <c r="G4179" s="13"/>
      <c r="H4179" s="13"/>
      <c r="I4179" s="13"/>
      <c r="J4179" s="10" t="s">
        <v>358</v>
      </c>
      <c r="K4179" s="14">
        <f>+K4176*K4177/K4178</f>
        <v>45.472971895424841</v>
      </c>
      <c r="L4179" s="10" t="s">
        <v>7</v>
      </c>
      <c r="M4179" s="670"/>
      <c r="N4179" s="420"/>
      <c r="O4179"/>
      <c r="P4179" s="412"/>
      <c r="Q4179" s="391"/>
      <c r="R4179" s="393"/>
      <c r="S4179" s="128"/>
    </row>
    <row r="4180" spans="1:21" ht="30" customHeight="1" x14ac:dyDescent="0.25">
      <c r="A4180" s="553"/>
      <c r="B4180" s="554"/>
      <c r="C4180" s="555"/>
      <c r="D4180" s="555"/>
      <c r="E4180" s="555"/>
      <c r="F4180" s="555"/>
      <c r="G4180" s="413" t="s">
        <v>537</v>
      </c>
      <c r="H4180" s="555"/>
      <c r="I4180" s="556"/>
      <c r="J4180" s="361">
        <f>VLOOKUP(B4169,'Mil Cost Premiums for RUCs'!$A$4:$R$265,18,FALSE)</f>
        <v>1.0905505199999999</v>
      </c>
      <c r="K4180" s="558">
        <f>+K4179*J4180</f>
        <v>49.590573146500937</v>
      </c>
      <c r="L4180" s="5" t="s">
        <v>7</v>
      </c>
      <c r="M4180" s="419"/>
      <c r="N4180" s="671"/>
      <c r="O4180"/>
      <c r="P4180" s="412"/>
      <c r="Q4180" s="391"/>
      <c r="R4180" s="393"/>
      <c r="S4180" s="128"/>
    </row>
    <row r="4181" spans="1:21" ht="75" customHeight="1" x14ac:dyDescent="0.25">
      <c r="A4181" s="580" t="s">
        <v>538</v>
      </c>
      <c r="B4181" s="532"/>
      <c r="C4181" s="532"/>
      <c r="D4181" s="532"/>
      <c r="E4181" s="532"/>
      <c r="F4181" s="532"/>
      <c r="G4181" s="532"/>
      <c r="H4181" s="532"/>
      <c r="I4181" s="532"/>
      <c r="J4181" s="532"/>
      <c r="K4181" s="532"/>
      <c r="L4181" s="533"/>
      <c r="M4181" s="419"/>
      <c r="N4181" s="671"/>
      <c r="O4181" s="43"/>
      <c r="P4181" s="672"/>
      <c r="Q4181" s="671"/>
      <c r="R4181" s="673"/>
    </row>
    <row r="4182" spans="1:21" ht="30" customHeight="1" x14ac:dyDescent="0.25">
      <c r="A4182" s="217" t="s">
        <v>539</v>
      </c>
      <c r="B4182" s="218"/>
      <c r="C4182" s="219"/>
      <c r="D4182" s="386" t="s">
        <v>2662</v>
      </c>
      <c r="E4182" s="849"/>
      <c r="F4182" s="849"/>
      <c r="G4182" s="849"/>
      <c r="H4182" s="849"/>
      <c r="I4182" s="849"/>
      <c r="J4182" s="849"/>
      <c r="K4182" s="849"/>
      <c r="L4182" s="850"/>
      <c r="M4182" s="419"/>
      <c r="N4182" s="420"/>
      <c r="O4182" s="43"/>
      <c r="P4182" s="672"/>
      <c r="Q4182" s="671"/>
      <c r="R4182" s="673"/>
    </row>
    <row r="4183" spans="1:21" ht="30" customHeight="1" x14ac:dyDescent="0.25">
      <c r="A4183" s="217" t="s">
        <v>541</v>
      </c>
      <c r="B4183" s="218"/>
      <c r="C4183" s="219"/>
      <c r="D4183" s="386" t="s">
        <v>2663</v>
      </c>
      <c r="E4183" s="849"/>
      <c r="F4183" s="849"/>
      <c r="G4183" s="849"/>
      <c r="H4183" s="849"/>
      <c r="I4183" s="849"/>
      <c r="J4183" s="849"/>
      <c r="K4183" s="849"/>
      <c r="L4183" s="850"/>
      <c r="M4183" s="419"/>
      <c r="N4183" s="420"/>
      <c r="O4183" s="128"/>
      <c r="P4183" s="713"/>
      <c r="Q4183" s="712"/>
      <c r="R4183" s="714"/>
      <c r="S4183" s="128"/>
    </row>
    <row r="4184" spans="1:21" ht="30" customHeight="1" x14ac:dyDescent="0.25">
      <c r="A4184" s="217" t="s">
        <v>543</v>
      </c>
      <c r="B4184" s="218"/>
      <c r="C4184" s="219"/>
      <c r="D4184" s="386" t="s">
        <v>2664</v>
      </c>
      <c r="E4184" s="849"/>
      <c r="F4184" s="849"/>
      <c r="G4184" s="849"/>
      <c r="H4184" s="849"/>
      <c r="I4184" s="849"/>
      <c r="J4184" s="849"/>
      <c r="K4184" s="849"/>
      <c r="L4184" s="850"/>
      <c r="M4184" s="674"/>
      <c r="N4184" s="420"/>
      <c r="O4184" s="1499"/>
      <c r="P4184" s="925"/>
      <c r="Q4184" s="925"/>
      <c r="R4184" s="925"/>
      <c r="S4184" s="60"/>
      <c r="T4184" s="60"/>
      <c r="U4184" s="43"/>
    </row>
    <row r="4185" spans="1:21" ht="30" customHeight="1" x14ac:dyDescent="0.25">
      <c r="A4185" s="217" t="s">
        <v>546</v>
      </c>
      <c r="B4185" s="218"/>
      <c r="C4185" s="219"/>
      <c r="D4185" s="386" t="s">
        <v>2665</v>
      </c>
      <c r="E4185" s="849"/>
      <c r="F4185" s="849"/>
      <c r="G4185" s="849"/>
      <c r="H4185" s="849"/>
      <c r="I4185" s="849"/>
      <c r="J4185" s="849"/>
      <c r="K4185" s="849"/>
      <c r="L4185" s="850"/>
      <c r="M4185" s="670"/>
      <c r="N4185" s="1603"/>
      <c r="P4185" s="43"/>
      <c r="Q4185" s="43"/>
      <c r="R4185" s="43"/>
      <c r="S4185" s="60"/>
      <c r="T4185" s="60"/>
      <c r="U4185" s="43"/>
    </row>
    <row r="4186" spans="1:21" s="128" customFormat="1" ht="30" customHeight="1" x14ac:dyDescent="0.25">
      <c r="A4186" s="217" t="s">
        <v>548</v>
      </c>
      <c r="B4186" s="218"/>
      <c r="C4186" s="219"/>
      <c r="D4186" s="386" t="s">
        <v>2574</v>
      </c>
      <c r="E4186" s="849"/>
      <c r="F4186" s="849"/>
      <c r="G4186" s="849"/>
      <c r="H4186" s="849"/>
      <c r="I4186" s="849"/>
      <c r="J4186" s="849"/>
      <c r="K4186" s="849"/>
      <c r="L4186" s="850"/>
      <c r="M4186" s="670"/>
      <c r="N4186" s="1603"/>
      <c r="O4186" s="27"/>
      <c r="P4186" s="43"/>
      <c r="Q4186" s="43"/>
      <c r="R4186" s="43"/>
      <c r="S4186" s="60"/>
      <c r="T4186" s="60"/>
      <c r="U4186" s="925"/>
    </row>
    <row r="4187" spans="1:21" s="49" customFormat="1" ht="30" customHeight="1" x14ac:dyDescent="0.25">
      <c r="A4187" s="217" t="s">
        <v>550</v>
      </c>
      <c r="B4187" s="218"/>
      <c r="C4187" s="219"/>
      <c r="D4187" s="386" t="s">
        <v>2441</v>
      </c>
      <c r="E4187" s="849"/>
      <c r="F4187" s="849"/>
      <c r="G4187" s="849"/>
      <c r="H4187" s="849"/>
      <c r="I4187" s="849"/>
      <c r="J4187" s="849"/>
      <c r="K4187" s="849"/>
      <c r="L4187" s="850"/>
      <c r="M4187" s="670"/>
      <c r="N4187" s="420"/>
      <c r="O4187" s="27"/>
      <c r="U4187" s="50"/>
    </row>
    <row r="4188" spans="1:21" ht="30" customHeight="1" x14ac:dyDescent="0.25">
      <c r="A4188" s="217" t="s">
        <v>552</v>
      </c>
      <c r="B4188" s="218"/>
      <c r="C4188" s="219"/>
      <c r="D4188" s="386" t="s">
        <v>2666</v>
      </c>
      <c r="E4188" s="849"/>
      <c r="F4188" s="849"/>
      <c r="G4188" s="849"/>
      <c r="H4188" s="849"/>
      <c r="I4188" s="849"/>
      <c r="J4188" s="849"/>
      <c r="K4188" s="849"/>
      <c r="L4188" s="850"/>
      <c r="M4188" s="670"/>
      <c r="N4188" s="420"/>
      <c r="U4188" s="43"/>
    </row>
    <row r="4189" spans="1:21" ht="75" customHeight="1" x14ac:dyDescent="0.25">
      <c r="A4189" s="217" t="s">
        <v>553</v>
      </c>
      <c r="B4189" s="218"/>
      <c r="C4189" s="219"/>
      <c r="D4189" s="386" t="s">
        <v>660</v>
      </c>
      <c r="E4189" s="849"/>
      <c r="F4189" s="849"/>
      <c r="G4189" s="849"/>
      <c r="H4189" s="849"/>
      <c r="I4189" s="849"/>
      <c r="J4189" s="849"/>
      <c r="K4189" s="849"/>
      <c r="L4189" s="850"/>
      <c r="M4189" s="670"/>
      <c r="N4189" s="420"/>
      <c r="U4189" s="43"/>
    </row>
    <row r="4190" spans="1:21" ht="45" customHeight="1" thickBot="1" x14ac:dyDescent="0.3">
      <c r="A4190" s="1282" t="s">
        <v>1999</v>
      </c>
      <c r="B4190" s="1283"/>
      <c r="C4190" s="1284"/>
      <c r="D4190" s="386" t="s">
        <v>2667</v>
      </c>
      <c r="E4190" s="849"/>
      <c r="F4190" s="849"/>
      <c r="G4190" s="849"/>
      <c r="H4190" s="849"/>
      <c r="I4190" s="849"/>
      <c r="J4190" s="849"/>
      <c r="K4190" s="849"/>
      <c r="L4190" s="850"/>
      <c r="M4190" s="670"/>
      <c r="N4190" s="671"/>
      <c r="P4190" s="43"/>
      <c r="Q4190" s="43"/>
      <c r="R4190" s="43"/>
      <c r="S4190" s="60"/>
      <c r="T4190" s="60"/>
    </row>
    <row r="4191" spans="1:21" ht="30" customHeight="1" thickBot="1" x14ac:dyDescent="0.3">
      <c r="A4191" s="76"/>
      <c r="B4191" s="77"/>
      <c r="C4191" s="77"/>
      <c r="D4191" s="77"/>
      <c r="E4191" s="77"/>
      <c r="F4191" s="77"/>
      <c r="G4191" s="77"/>
      <c r="H4191" s="77"/>
      <c r="I4191" s="77"/>
      <c r="J4191" s="77"/>
      <c r="K4191" s="77"/>
      <c r="L4191" s="78"/>
      <c r="M4191" s="670"/>
      <c r="N4191" s="671"/>
      <c r="P4191" s="43"/>
      <c r="Q4191" s="43"/>
      <c r="R4191" s="43"/>
      <c r="S4191" s="60"/>
      <c r="T4191" s="60"/>
    </row>
    <row r="4192" spans="1:21" ht="30" customHeight="1" x14ac:dyDescent="0.25">
      <c r="A4192" s="30" t="s">
        <v>288</v>
      </c>
      <c r="B4192" s="31">
        <v>8331</v>
      </c>
      <c r="C4192" s="161" t="s">
        <v>2668</v>
      </c>
      <c r="D4192" s="162"/>
      <c r="E4192" s="36" t="s">
        <v>291</v>
      </c>
      <c r="F4192" s="37" t="s">
        <v>11</v>
      </c>
      <c r="G4192" s="163" t="s">
        <v>290</v>
      </c>
      <c r="H4192" s="164">
        <v>1</v>
      </c>
      <c r="I4192" s="36" t="s">
        <v>292</v>
      </c>
      <c r="J4192" s="38" t="s">
        <v>883</v>
      </c>
      <c r="K4192" s="38"/>
      <c r="L4192" s="389"/>
      <c r="M4192" s="419"/>
      <c r="N4192" s="420"/>
      <c r="O4192"/>
      <c r="P4192" s="412"/>
      <c r="Q4192" s="391"/>
      <c r="R4192" s="393"/>
    </row>
    <row r="4193" spans="1:18" ht="30" customHeight="1" x14ac:dyDescent="0.25">
      <c r="A4193" s="48" t="s">
        <v>529</v>
      </c>
      <c r="B4193" s="490" t="s">
        <v>560</v>
      </c>
      <c r="C4193" s="491"/>
      <c r="D4193" s="492"/>
      <c r="E4193" s="793" t="s">
        <v>519</v>
      </c>
      <c r="F4193" s="793" t="s">
        <v>561</v>
      </c>
      <c r="G4193" s="626" t="s">
        <v>562</v>
      </c>
      <c r="H4193" s="627"/>
      <c r="I4193" s="181" t="s">
        <v>530</v>
      </c>
      <c r="J4193" s="181"/>
      <c r="K4193" s="493" t="s">
        <v>521</v>
      </c>
      <c r="L4193" s="494"/>
      <c r="N4193" s="420"/>
      <c r="O4193"/>
      <c r="P4193" s="412"/>
      <c r="Q4193" s="391"/>
      <c r="R4193" s="393"/>
    </row>
    <row r="4194" spans="1:18" ht="30" customHeight="1" x14ac:dyDescent="0.25">
      <c r="A4194" s="61" t="s">
        <v>2111</v>
      </c>
      <c r="B4194" s="236" t="s">
        <v>2669</v>
      </c>
      <c r="C4194" s="237"/>
      <c r="D4194" s="238"/>
      <c r="E4194" s="760">
        <v>64.5</v>
      </c>
      <c r="F4194" s="157" t="s">
        <v>9</v>
      </c>
      <c r="G4194" s="1563">
        <v>1430</v>
      </c>
      <c r="H4194" s="1528" t="s">
        <v>565</v>
      </c>
      <c r="I4194" s="20">
        <v>1.05</v>
      </c>
      <c r="J4194" s="22"/>
      <c r="K4194" s="21">
        <f>+E4194*G4194*I4194</f>
        <v>96846.75</v>
      </c>
      <c r="L4194" s="157" t="s">
        <v>11</v>
      </c>
      <c r="M4194" s="502"/>
      <c r="N4194" s="1603"/>
      <c r="O4194"/>
      <c r="P4194" s="412"/>
      <c r="Q4194" s="391"/>
      <c r="R4194" s="393"/>
    </row>
    <row r="4195" spans="1:18" s="49" customFormat="1" ht="30" customHeight="1" x14ac:dyDescent="0.25">
      <c r="A4195" s="61"/>
      <c r="B4195" s="386" t="s">
        <v>3396</v>
      </c>
      <c r="C4195" s="849"/>
      <c r="D4195" s="850"/>
      <c r="E4195" s="1550"/>
      <c r="F4195" s="157"/>
      <c r="G4195" s="1544"/>
      <c r="H4195" s="758"/>
      <c r="I4195" s="20"/>
      <c r="J4195" s="22"/>
      <c r="K4195" s="23"/>
      <c r="L4195" s="157"/>
      <c r="M4195" s="556"/>
      <c r="N4195" s="556"/>
      <c r="P4195" s="412"/>
      <c r="Q4195" s="391"/>
      <c r="R4195" s="393"/>
    </row>
    <row r="4196" spans="1:18" ht="30" customHeight="1" x14ac:dyDescent="0.25">
      <c r="A4196" s="61"/>
      <c r="B4196" s="191"/>
      <c r="C4196" s="191"/>
      <c r="D4196" s="191"/>
      <c r="E4196" s="198"/>
      <c r="F4196" s="676" t="s">
        <v>533</v>
      </c>
      <c r="G4196" s="339" t="s">
        <v>534</v>
      </c>
      <c r="H4196" s="339"/>
      <c r="I4196" s="339"/>
      <c r="J4196" s="339"/>
      <c r="K4196" s="340">
        <v>1.07</v>
      </c>
      <c r="L4196" s="24"/>
      <c r="N4196" s="502"/>
      <c r="O4196"/>
      <c r="P4196" s="412"/>
      <c r="Q4196" s="391"/>
      <c r="R4196" s="393"/>
    </row>
    <row r="4197" spans="1:18" s="128" customFormat="1" ht="30" customHeight="1" x14ac:dyDescent="0.25">
      <c r="A4197" s="61"/>
      <c r="B4197" s="498"/>
      <c r="C4197" s="498"/>
      <c r="D4197" s="498"/>
      <c r="E4197" s="530"/>
      <c r="F4197" s="678"/>
      <c r="G4197" s="344" t="s">
        <v>535</v>
      </c>
      <c r="H4197" s="344"/>
      <c r="I4197" s="344"/>
      <c r="J4197" s="344"/>
      <c r="K4197" s="340">
        <v>1.02</v>
      </c>
      <c r="L4197" s="24"/>
      <c r="M4197" s="25"/>
      <c r="N4197" s="25"/>
      <c r="O4197"/>
      <c r="P4197" s="412"/>
      <c r="Q4197" s="391"/>
      <c r="R4197" s="393"/>
    </row>
    <row r="4198" spans="1:18" s="128" customFormat="1" ht="30" customHeight="1" x14ac:dyDescent="0.25">
      <c r="A4198" s="1334"/>
      <c r="B4198" s="1876"/>
      <c r="C4198" s="1876"/>
      <c r="D4198" s="1876"/>
      <c r="E4198" s="530"/>
      <c r="F4198" s="157"/>
      <c r="G4198" s="730"/>
      <c r="H4198" s="649"/>
      <c r="I4198" s="20"/>
      <c r="J4198" s="20" t="s">
        <v>358</v>
      </c>
      <c r="K4198" s="23">
        <f>+K4194*K4196/K4197</f>
        <v>101594.13970588236</v>
      </c>
      <c r="L4198" s="61" t="s">
        <v>11</v>
      </c>
      <c r="M4198" s="25"/>
      <c r="N4198" s="25"/>
      <c r="O4198"/>
      <c r="P4198" s="412"/>
      <c r="Q4198" s="391"/>
      <c r="R4198" s="393"/>
    </row>
    <row r="4199" spans="1:18" s="128" customFormat="1" ht="30" customHeight="1" thickBot="1" x14ac:dyDescent="0.3">
      <c r="A4199" s="61"/>
      <c r="B4199" s="61"/>
      <c r="C4199" s="63"/>
      <c r="D4199" s="63"/>
      <c r="E4199" s="63"/>
      <c r="F4199" s="63"/>
      <c r="G4199" s="413" t="s">
        <v>537</v>
      </c>
      <c r="H4199" s="18"/>
      <c r="I4199" s="18"/>
      <c r="J4199" s="361">
        <f>VLOOKUP(B4192,'Mil Cost Premiums for RUCs'!$A$4:$R$265,18,FALSE)</f>
        <v>1.0485669999999998</v>
      </c>
      <c r="K4199" s="23">
        <f>+K4198*J4199</f>
        <v>106528.26228897793</v>
      </c>
      <c r="L4199" s="61" t="s">
        <v>11</v>
      </c>
      <c r="M4199" s="25"/>
      <c r="N4199" s="25"/>
      <c r="O4199"/>
      <c r="P4199" s="412"/>
      <c r="Q4199" s="391"/>
      <c r="R4199" s="393"/>
    </row>
    <row r="4200" spans="1:18" s="128" customFormat="1" ht="30" customHeight="1" thickBot="1" x14ac:dyDescent="0.3">
      <c r="A4200" s="76"/>
      <c r="B4200" s="77"/>
      <c r="C4200" s="77"/>
      <c r="D4200" s="77"/>
      <c r="E4200" s="77"/>
      <c r="F4200" s="77"/>
      <c r="G4200" s="77"/>
      <c r="H4200" s="77"/>
      <c r="I4200" s="77"/>
      <c r="J4200" s="77"/>
      <c r="K4200" s="77"/>
      <c r="L4200" s="78"/>
      <c r="M4200" s="43"/>
      <c r="N4200" s="25"/>
      <c r="O4200"/>
      <c r="P4200" s="412"/>
      <c r="Q4200" s="391"/>
      <c r="R4200" s="393"/>
    </row>
    <row r="4201" spans="1:18" s="128" customFormat="1" ht="30" customHeight="1" x14ac:dyDescent="0.25">
      <c r="A4201" s="30" t="s">
        <v>288</v>
      </c>
      <c r="B4201" s="208">
        <v>8332</v>
      </c>
      <c r="C4201" s="209" t="s">
        <v>2670</v>
      </c>
      <c r="D4201" s="210"/>
      <c r="E4201" s="177" t="s">
        <v>291</v>
      </c>
      <c r="F4201" s="178" t="s">
        <v>239</v>
      </c>
      <c r="G4201" s="123" t="s">
        <v>375</v>
      </c>
      <c r="H4201" s="1551">
        <v>664</v>
      </c>
      <c r="I4201" s="177" t="s">
        <v>292</v>
      </c>
      <c r="J4201" s="38" t="s">
        <v>883</v>
      </c>
      <c r="K4201" s="38"/>
      <c r="L4201" s="389"/>
      <c r="M4201" s="419"/>
      <c r="N4201" s="25"/>
      <c r="O4201"/>
      <c r="P4201" s="412"/>
      <c r="Q4201" s="391"/>
      <c r="R4201" s="393"/>
    </row>
    <row r="4202" spans="1:18" ht="30" customHeight="1" x14ac:dyDescent="0.25">
      <c r="A4202" s="48" t="s">
        <v>529</v>
      </c>
      <c r="B4202" s="394" t="s">
        <v>560</v>
      </c>
      <c r="C4202" s="395"/>
      <c r="D4202" s="396"/>
      <c r="E4202" s="397" t="s">
        <v>519</v>
      </c>
      <c r="F4202" s="397" t="s">
        <v>561</v>
      </c>
      <c r="G4202" s="398" t="s">
        <v>562</v>
      </c>
      <c r="H4202" s="399"/>
      <c r="I4202" s="181" t="s">
        <v>530</v>
      </c>
      <c r="J4202" s="181"/>
      <c r="K4202" s="493" t="s">
        <v>521</v>
      </c>
      <c r="L4202" s="494"/>
      <c r="M4202" s="425"/>
      <c r="O4202" s="43"/>
      <c r="P4202" s="672"/>
      <c r="Q4202" s="671"/>
      <c r="R4202" s="673"/>
    </row>
    <row r="4203" spans="1:18" ht="30" customHeight="1" x14ac:dyDescent="0.25">
      <c r="A4203" s="61" t="s">
        <v>2671</v>
      </c>
      <c r="B4203" s="503" t="s">
        <v>2672</v>
      </c>
      <c r="C4203" s="504"/>
      <c r="D4203" s="505"/>
      <c r="E4203" s="904">
        <f>+(200000+270000)/2</f>
        <v>235000</v>
      </c>
      <c r="F4203" s="22" t="s">
        <v>239</v>
      </c>
      <c r="G4203" s="1112"/>
      <c r="H4203" s="758"/>
      <c r="I4203" s="20">
        <v>1.06</v>
      </c>
      <c r="J4203" s="20"/>
      <c r="K4203" s="776">
        <f>+E4203*I4203</f>
        <v>249100</v>
      </c>
      <c r="L4203" s="22" t="s">
        <v>239</v>
      </c>
      <c r="M4203" s="419"/>
      <c r="N4203" s="420"/>
      <c r="O4203" s="43"/>
      <c r="P4203" s="672"/>
      <c r="Q4203" s="671"/>
      <c r="R4203" s="673"/>
    </row>
    <row r="4204" spans="1:18" s="128" customFormat="1" ht="30" customHeight="1" x14ac:dyDescent="0.25">
      <c r="A4204" s="61" t="s">
        <v>2671</v>
      </c>
      <c r="B4204" s="503" t="s">
        <v>2673</v>
      </c>
      <c r="C4204" s="504"/>
      <c r="D4204" s="505"/>
      <c r="E4204" s="760">
        <f>+(13000+19800)/2</f>
        <v>16400</v>
      </c>
      <c r="F4204" s="22" t="s">
        <v>11</v>
      </c>
      <c r="G4204" s="1552">
        <f>+H4201</f>
        <v>664</v>
      </c>
      <c r="H4204" s="758" t="s">
        <v>2674</v>
      </c>
      <c r="I4204" s="20">
        <v>1.06</v>
      </c>
      <c r="J4204" s="20"/>
      <c r="K4204" s="776">
        <f>+E4204/G4204*I4204</f>
        <v>26.180722891566269</v>
      </c>
      <c r="L4204" s="22" t="s">
        <v>239</v>
      </c>
      <c r="M4204" s="419"/>
      <c r="N4204" s="420"/>
      <c r="O4204"/>
      <c r="P4204" s="412"/>
      <c r="Q4204" s="391"/>
      <c r="R4204" s="393"/>
    </row>
    <row r="4205" spans="1:18" s="128" customFormat="1" ht="30" customHeight="1" x14ac:dyDescent="0.25">
      <c r="A4205" s="61" t="s">
        <v>2566</v>
      </c>
      <c r="B4205" s="503" t="s">
        <v>2675</v>
      </c>
      <c r="C4205" s="504"/>
      <c r="D4205" s="505"/>
      <c r="E4205" s="760">
        <f>+(98.5+165)/2</f>
        <v>131.75</v>
      </c>
      <c r="F4205" s="22" t="s">
        <v>576</v>
      </c>
      <c r="G4205" s="1553">
        <f>50/H4201</f>
        <v>7.5301204819277115E-2</v>
      </c>
      <c r="H4205" s="758" t="s">
        <v>817</v>
      </c>
      <c r="I4205" s="20">
        <v>1.03</v>
      </c>
      <c r="J4205" s="20"/>
      <c r="K4205" s="776">
        <f>+E4205*G4205*I4205</f>
        <v>10.218561746987953</v>
      </c>
      <c r="L4205" s="22" t="s">
        <v>239</v>
      </c>
      <c r="M4205" s="419"/>
      <c r="N4205" s="420"/>
      <c r="O4205"/>
      <c r="P4205" s="412"/>
      <c r="Q4205" s="391"/>
      <c r="R4205" s="393"/>
    </row>
    <row r="4206" spans="1:18" s="128" customFormat="1" ht="30" customHeight="1" x14ac:dyDescent="0.25">
      <c r="A4206" s="61" t="s">
        <v>916</v>
      </c>
      <c r="B4206" s="503" t="s">
        <v>2676</v>
      </c>
      <c r="C4206" s="504"/>
      <c r="D4206" s="505"/>
      <c r="E4206" s="760">
        <v>6450</v>
      </c>
      <c r="F4206" s="22" t="s">
        <v>11</v>
      </c>
      <c r="G4206" s="1552">
        <f>+H4201</f>
        <v>664</v>
      </c>
      <c r="H4206" s="758" t="s">
        <v>2674</v>
      </c>
      <c r="I4206" s="751">
        <v>1.02</v>
      </c>
      <c r="J4206" s="20"/>
      <c r="K4206" s="776">
        <f>+E4206/G4206*I4206</f>
        <v>9.908132530120481</v>
      </c>
      <c r="L4206" s="22" t="s">
        <v>239</v>
      </c>
      <c r="M4206" s="419"/>
      <c r="N4206" s="420"/>
      <c r="O4206"/>
      <c r="P4206" s="412"/>
      <c r="Q4206" s="391"/>
      <c r="R4206" s="393"/>
    </row>
    <row r="4207" spans="1:18" s="128" customFormat="1" ht="30" customHeight="1" x14ac:dyDescent="0.25">
      <c r="A4207" s="61" t="s">
        <v>916</v>
      </c>
      <c r="B4207" s="503" t="s">
        <v>2677</v>
      </c>
      <c r="C4207" s="504"/>
      <c r="D4207" s="505"/>
      <c r="E4207" s="760">
        <f>+(2240+2650)/2</f>
        <v>2445</v>
      </c>
      <c r="F4207" s="22" t="s">
        <v>11</v>
      </c>
      <c r="G4207" s="1552">
        <f>+H4201</f>
        <v>664</v>
      </c>
      <c r="H4207" s="758" t="s">
        <v>2674</v>
      </c>
      <c r="I4207" s="751">
        <v>1.02</v>
      </c>
      <c r="J4207" s="20"/>
      <c r="K4207" s="776">
        <f>+E4207/G4207*I4207</f>
        <v>3.7558734939759035</v>
      </c>
      <c r="L4207" s="22" t="s">
        <v>239</v>
      </c>
      <c r="M4207" s="419"/>
      <c r="N4207" s="420"/>
      <c r="O4207"/>
      <c r="P4207" s="412"/>
      <c r="Q4207" s="391"/>
      <c r="R4207" s="393"/>
    </row>
    <row r="4208" spans="1:18" s="128" customFormat="1" ht="30" customHeight="1" x14ac:dyDescent="0.25">
      <c r="A4208" s="61" t="s">
        <v>916</v>
      </c>
      <c r="B4208" s="503" t="s">
        <v>2678</v>
      </c>
      <c r="C4208" s="504"/>
      <c r="D4208" s="505"/>
      <c r="E4208" s="760">
        <f>+(6250+6900)/2</f>
        <v>6575</v>
      </c>
      <c r="F4208" s="22" t="s">
        <v>11</v>
      </c>
      <c r="G4208" s="1552">
        <f>+H4201</f>
        <v>664</v>
      </c>
      <c r="H4208" s="758" t="s">
        <v>2674</v>
      </c>
      <c r="I4208" s="751">
        <v>1.02</v>
      </c>
      <c r="J4208" s="20"/>
      <c r="K4208" s="776">
        <f>+E4208/G4208*I4208</f>
        <v>10.100150602409638</v>
      </c>
      <c r="L4208" s="22" t="s">
        <v>239</v>
      </c>
      <c r="M4208" s="419"/>
      <c r="N4208" s="420"/>
      <c r="O4208"/>
      <c r="P4208" s="412"/>
      <c r="Q4208" s="391"/>
      <c r="R4208" s="393"/>
    </row>
    <row r="4209" spans="1:19" s="128" customFormat="1" ht="30" customHeight="1" x14ac:dyDescent="0.25">
      <c r="A4209" s="61" t="s">
        <v>916</v>
      </c>
      <c r="B4209" s="503" t="s">
        <v>2679</v>
      </c>
      <c r="C4209" s="504"/>
      <c r="D4209" s="505"/>
      <c r="E4209" s="760">
        <f>+(2200+2700)/2</f>
        <v>2450</v>
      </c>
      <c r="F4209" s="22" t="s">
        <v>11</v>
      </c>
      <c r="G4209" s="1552">
        <f>+H4201</f>
        <v>664</v>
      </c>
      <c r="H4209" s="758" t="s">
        <v>2674</v>
      </c>
      <c r="I4209" s="751">
        <v>1.02</v>
      </c>
      <c r="J4209" s="20"/>
      <c r="K4209" s="776">
        <f>+E4209/G4209*I4209*2</f>
        <v>7.5271084337349405</v>
      </c>
      <c r="L4209" s="22" t="s">
        <v>239</v>
      </c>
      <c r="M4209" s="670"/>
      <c r="N4209" s="420"/>
      <c r="O4209"/>
      <c r="P4209" s="412"/>
      <c r="Q4209" s="391"/>
      <c r="R4209" s="393"/>
    </row>
    <row r="4210" spans="1:19" s="128" customFormat="1" ht="30" customHeight="1" x14ac:dyDescent="0.25">
      <c r="A4210" s="63"/>
      <c r="B4210" s="186"/>
      <c r="C4210" s="186"/>
      <c r="D4210" s="186"/>
      <c r="E4210" s="405"/>
      <c r="F4210" s="20"/>
      <c r="G4210" s="20"/>
      <c r="H4210" s="20"/>
      <c r="I4210" s="20"/>
      <c r="J4210" s="20" t="s">
        <v>578</v>
      </c>
      <c r="K4210" s="780">
        <f>SUM(K4203:K4209)</f>
        <v>249167.69054969877</v>
      </c>
      <c r="L4210" s="22" t="s">
        <v>239</v>
      </c>
      <c r="M4210" s="670"/>
      <c r="N4210" s="420"/>
      <c r="O4210"/>
      <c r="P4210" s="412"/>
      <c r="Q4210" s="391"/>
      <c r="R4210" s="393"/>
    </row>
    <row r="4211" spans="1:19" s="128" customFormat="1" ht="30" customHeight="1" x14ac:dyDescent="0.25">
      <c r="A4211" s="61"/>
      <c r="B4211" s="410"/>
      <c r="C4211" s="410"/>
      <c r="D4211" s="410"/>
      <c r="E4211" s="405"/>
      <c r="F4211" s="338" t="s">
        <v>533</v>
      </c>
      <c r="G4211" s="339" t="s">
        <v>534</v>
      </c>
      <c r="H4211" s="339"/>
      <c r="I4211" s="339"/>
      <c r="J4211" s="339"/>
      <c r="K4211" s="340">
        <v>1.07</v>
      </c>
      <c r="L4211" s="10"/>
      <c r="M4211" s="419"/>
      <c r="N4211" s="671"/>
      <c r="O4211"/>
      <c r="P4211" s="412"/>
      <c r="Q4211" s="391"/>
      <c r="R4211" s="393"/>
    </row>
    <row r="4212" spans="1:19" s="128" customFormat="1" ht="30" customHeight="1" x14ac:dyDescent="0.25">
      <c r="A4212" s="61"/>
      <c r="B4212" s="410"/>
      <c r="C4212" s="410"/>
      <c r="D4212" s="410"/>
      <c r="E4212" s="405"/>
      <c r="F4212" s="343"/>
      <c r="G4212" s="344" t="s">
        <v>535</v>
      </c>
      <c r="H4212" s="344"/>
      <c r="I4212" s="344"/>
      <c r="J4212" s="344"/>
      <c r="K4212" s="340">
        <v>1.02</v>
      </c>
      <c r="L4212" s="10"/>
      <c r="M4212" s="419"/>
      <c r="N4212" s="671"/>
      <c r="O4212" s="662"/>
      <c r="P4212" s="412"/>
      <c r="Q4212" s="391"/>
      <c r="R4212" s="393"/>
    </row>
    <row r="4213" spans="1:19" s="128" customFormat="1" ht="30" customHeight="1" x14ac:dyDescent="0.25">
      <c r="A4213" s="63"/>
      <c r="B4213" s="20"/>
      <c r="C4213" s="18"/>
      <c r="D4213" s="18"/>
      <c r="E4213" s="18"/>
      <c r="F4213" s="18"/>
      <c r="G4213" s="18"/>
      <c r="H4213" s="18"/>
      <c r="I4213" s="18"/>
      <c r="J4213" s="20" t="s">
        <v>358</v>
      </c>
      <c r="K4213" s="23">
        <f>+K4210*K4211/K4212</f>
        <v>261381.79302762522</v>
      </c>
      <c r="L4213" s="20" t="s">
        <v>239</v>
      </c>
      <c r="M4213" s="419"/>
      <c r="N4213" s="420"/>
      <c r="O4213"/>
      <c r="P4213" s="412"/>
      <c r="Q4213" s="391"/>
      <c r="R4213" s="393"/>
    </row>
    <row r="4214" spans="1:19" s="128" customFormat="1" ht="30" customHeight="1" thickBot="1" x14ac:dyDescent="0.3">
      <c r="A4214" s="61"/>
      <c r="B4214" s="20"/>
      <c r="C4214" s="18"/>
      <c r="D4214" s="18"/>
      <c r="E4214" s="18"/>
      <c r="F4214" s="18"/>
      <c r="G4214" s="413" t="s">
        <v>537</v>
      </c>
      <c r="H4214" s="18"/>
      <c r="I4214" s="18"/>
      <c r="J4214" s="361">
        <f>VLOOKUP(B4201,'Mil Cost Premiums for RUCs'!$A$4:$R$265,18,FALSE)</f>
        <v>1.1199953840399997</v>
      </c>
      <c r="K4214" s="23">
        <f>+K4213*J4214</f>
        <v>292746.40166303882</v>
      </c>
      <c r="L4214" s="20" t="s">
        <v>239</v>
      </c>
      <c r="M4214" s="419"/>
      <c r="N4214" s="420"/>
      <c r="O4214"/>
      <c r="P4214" s="412"/>
      <c r="Q4214" s="391"/>
      <c r="R4214" s="393"/>
    </row>
    <row r="4215" spans="1:19" ht="30" customHeight="1" thickBot="1" x14ac:dyDescent="0.3">
      <c r="A4215" s="76"/>
      <c r="B4215" s="77"/>
      <c r="C4215" s="77"/>
      <c r="D4215" s="77"/>
      <c r="E4215" s="77"/>
      <c r="F4215" s="77"/>
      <c r="G4215" s="77"/>
      <c r="H4215" s="77"/>
      <c r="I4215" s="77"/>
      <c r="J4215" s="77"/>
      <c r="K4215" s="77"/>
      <c r="L4215" s="78"/>
      <c r="M4215" s="556"/>
      <c r="N4215" s="420"/>
      <c r="O4215"/>
      <c r="P4215" s="412"/>
      <c r="Q4215" s="391"/>
      <c r="R4215" s="393"/>
    </row>
    <row r="4216" spans="1:19" ht="30" customHeight="1" x14ac:dyDescent="0.25">
      <c r="A4216" s="30" t="s">
        <v>288</v>
      </c>
      <c r="B4216" s="31">
        <v>8333</v>
      </c>
      <c r="C4216" s="161" t="s">
        <v>2680</v>
      </c>
      <c r="D4216" s="162"/>
      <c r="E4216" s="36" t="s">
        <v>291</v>
      </c>
      <c r="F4216" s="37" t="s">
        <v>35</v>
      </c>
      <c r="G4216" s="740" t="s">
        <v>562</v>
      </c>
      <c r="H4216" s="741"/>
      <c r="I4216" s="36" t="s">
        <v>292</v>
      </c>
      <c r="J4216" s="38" t="s">
        <v>241</v>
      </c>
      <c r="K4216" s="39"/>
      <c r="L4216" s="40"/>
      <c r="M4216" s="1428"/>
      <c r="N4216" s="420"/>
      <c r="O4216" s="25"/>
      <c r="P4216" s="566"/>
      <c r="Q4216" s="420"/>
      <c r="R4216" s="393"/>
    </row>
    <row r="4217" spans="1:19" ht="30" customHeight="1" x14ac:dyDescent="0.25">
      <c r="A4217" s="44"/>
      <c r="B4217" s="45" t="s">
        <v>295</v>
      </c>
      <c r="C4217" s="45"/>
      <c r="D4217" s="45"/>
      <c r="E4217" s="44" t="s">
        <v>821</v>
      </c>
      <c r="F4217" s="44" t="s">
        <v>2</v>
      </c>
      <c r="G4217" s="463"/>
      <c r="H4217" s="44"/>
      <c r="I4217" s="316" t="s">
        <v>569</v>
      </c>
      <c r="J4217" s="667" t="s">
        <v>702</v>
      </c>
      <c r="K4217" s="722" t="s">
        <v>521</v>
      </c>
      <c r="L4217" s="723"/>
      <c r="M4217" s="1430"/>
      <c r="N4217" s="556"/>
      <c r="O4217" s="25"/>
      <c r="P4217" s="566"/>
      <c r="Q4217" s="420"/>
      <c r="R4217" s="393"/>
    </row>
    <row r="4218" spans="1:19" s="49" customFormat="1" ht="30" customHeight="1" x14ac:dyDescent="0.25">
      <c r="A4218" s="147"/>
      <c r="B4218" s="214" t="s">
        <v>2681</v>
      </c>
      <c r="C4218" s="214"/>
      <c r="D4218" s="214"/>
      <c r="E4218" s="972">
        <v>558597.80000000005</v>
      </c>
      <c r="F4218" s="147" t="s">
        <v>35</v>
      </c>
      <c r="G4218" s="13"/>
      <c r="H4218" s="973"/>
      <c r="I4218" s="1277">
        <v>1.02</v>
      </c>
      <c r="J4218" s="1252">
        <f>+'MILCON Inflation Table'!F10</f>
        <v>1.1691837124832727</v>
      </c>
      <c r="K4218" s="972">
        <f>+E4218/I4218*J4218</f>
        <v>640297.49959704769</v>
      </c>
      <c r="L4218" s="147" t="s">
        <v>35</v>
      </c>
      <c r="M4218" s="1428"/>
      <c r="N4218" s="1341"/>
      <c r="O4218" s="502"/>
      <c r="P4218" s="566"/>
      <c r="Q4218" s="420"/>
      <c r="R4218" s="393"/>
    </row>
    <row r="4219" spans="1:19" s="128" customFormat="1" ht="30" customHeight="1" x14ac:dyDescent="0.25">
      <c r="A4219" s="20"/>
      <c r="B4219" s="191"/>
      <c r="C4219" s="191"/>
      <c r="D4219" s="191"/>
      <c r="E4219" s="402" t="s">
        <v>822</v>
      </c>
      <c r="F4219" s="403"/>
      <c r="G4219" s="403"/>
      <c r="H4219" s="404"/>
      <c r="I4219" s="18"/>
      <c r="J4219" s="185" t="s">
        <v>358</v>
      </c>
      <c r="K4219" s="305">
        <f>+K4218</f>
        <v>640297.49959704769</v>
      </c>
      <c r="L4219" s="20" t="s">
        <v>35</v>
      </c>
      <c r="M4219" s="670"/>
      <c r="N4219" s="1431"/>
      <c r="O4219" s="25"/>
      <c r="P4219" s="566"/>
      <c r="Q4219" s="420"/>
      <c r="R4219" s="393"/>
      <c r="S4219"/>
    </row>
    <row r="4220" spans="1:19" s="128" customFormat="1" ht="30" customHeight="1" thickBot="1" x14ac:dyDescent="0.3">
      <c r="A4220" s="1554" t="s">
        <v>2682</v>
      </c>
      <c r="B4220" s="1555"/>
      <c r="C4220" s="1555"/>
      <c r="D4220" s="1555"/>
      <c r="E4220" s="1555"/>
      <c r="F4220" s="1555"/>
      <c r="G4220" s="1555"/>
      <c r="H4220" s="1555"/>
      <c r="I4220" s="1555"/>
      <c r="J4220" s="1555"/>
      <c r="K4220" s="1555"/>
      <c r="L4220" s="1556"/>
      <c r="M4220" s="670"/>
      <c r="N4220" s="420"/>
      <c r="O4220"/>
      <c r="P4220" s="412"/>
      <c r="Q4220" s="391"/>
      <c r="R4220" s="393"/>
      <c r="S4220"/>
    </row>
    <row r="4221" spans="1:19" ht="30" customHeight="1" thickBot="1" x14ac:dyDescent="0.3">
      <c r="A4221" s="76"/>
      <c r="B4221" s="77"/>
      <c r="C4221" s="77"/>
      <c r="D4221" s="77"/>
      <c r="E4221" s="77"/>
      <c r="F4221" s="77"/>
      <c r="G4221" s="77"/>
      <c r="H4221" s="77"/>
      <c r="I4221" s="77"/>
      <c r="J4221" s="77"/>
      <c r="K4221" s="77"/>
      <c r="L4221" s="78"/>
      <c r="N4221" s="420"/>
      <c r="O4221" s="43"/>
      <c r="P4221" s="672"/>
      <c r="Q4221" s="671"/>
      <c r="R4221" s="673"/>
    </row>
    <row r="4222" spans="1:19" ht="30" customHeight="1" x14ac:dyDescent="0.25">
      <c r="A4222" s="207" t="s">
        <v>288</v>
      </c>
      <c r="B4222" s="208">
        <v>8334</v>
      </c>
      <c r="C4222" s="209" t="s">
        <v>2683</v>
      </c>
      <c r="D4222" s="210"/>
      <c r="E4222" s="177" t="s">
        <v>291</v>
      </c>
      <c r="F4222" s="178" t="s">
        <v>35</v>
      </c>
      <c r="G4222" s="1557" t="s">
        <v>562</v>
      </c>
      <c r="H4222" s="1558"/>
      <c r="I4222" s="177" t="s">
        <v>292</v>
      </c>
      <c r="J4222" s="38" t="s">
        <v>241</v>
      </c>
      <c r="K4222" s="39"/>
      <c r="L4222" s="40"/>
      <c r="M4222" s="670"/>
      <c r="N4222" s="420"/>
      <c r="O4222" s="43"/>
      <c r="P4222" s="672"/>
      <c r="Q4222" s="671"/>
      <c r="R4222" s="673"/>
    </row>
    <row r="4223" spans="1:19" s="128" customFormat="1" ht="30" customHeight="1" x14ac:dyDescent="0.25">
      <c r="A4223" s="181"/>
      <c r="B4223" s="180" t="s">
        <v>295</v>
      </c>
      <c r="C4223" s="180"/>
      <c r="D4223" s="180"/>
      <c r="E4223" s="181" t="s">
        <v>821</v>
      </c>
      <c r="F4223" s="181" t="s">
        <v>2</v>
      </c>
      <c r="G4223" s="971"/>
      <c r="H4223" s="181"/>
      <c r="I4223" s="424" t="s">
        <v>569</v>
      </c>
      <c r="J4223" s="667" t="s">
        <v>702</v>
      </c>
      <c r="K4223" s="493" t="s">
        <v>521</v>
      </c>
      <c r="L4223" s="494"/>
      <c r="M4223" s="670"/>
      <c r="N4223" s="556"/>
      <c r="O4223"/>
      <c r="P4223" s="412"/>
      <c r="Q4223" s="391"/>
      <c r="R4223" s="393"/>
    </row>
    <row r="4224" spans="1:19" ht="30" customHeight="1" x14ac:dyDescent="0.25">
      <c r="A4224" s="147"/>
      <c r="B4224" s="214" t="s">
        <v>2681</v>
      </c>
      <c r="C4224" s="214"/>
      <c r="D4224" s="214"/>
      <c r="E4224" s="972">
        <v>558597.80000000005</v>
      </c>
      <c r="F4224" s="147" t="s">
        <v>35</v>
      </c>
      <c r="G4224" s="13"/>
      <c r="H4224" s="973"/>
      <c r="I4224" s="1277">
        <v>1.02</v>
      </c>
      <c r="J4224" s="1252">
        <f>+'MILCON Inflation Table'!F10</f>
        <v>1.1691837124832727</v>
      </c>
      <c r="K4224" s="972">
        <f>+E4224/I4224*J4224</f>
        <v>640297.49959704769</v>
      </c>
      <c r="L4224" s="147" t="s">
        <v>35</v>
      </c>
      <c r="M4224" s="1428"/>
      <c r="N4224" s="420"/>
      <c r="O4224" s="128"/>
      <c r="P4224" s="713"/>
      <c r="Q4224" s="712"/>
      <c r="R4224" s="714"/>
    </row>
    <row r="4225" spans="1:19" ht="30" customHeight="1" x14ac:dyDescent="0.25">
      <c r="A4225" s="61"/>
      <c r="B4225" s="192"/>
      <c r="C4225" s="192"/>
      <c r="D4225" s="192"/>
      <c r="E4225" s="236" t="s">
        <v>822</v>
      </c>
      <c r="F4225" s="237"/>
      <c r="G4225" s="237"/>
      <c r="H4225" s="238"/>
      <c r="I4225" s="63"/>
      <c r="J4225" s="48" t="s">
        <v>358</v>
      </c>
      <c r="K4225" s="220">
        <f>+K4224</f>
        <v>640297.49959704769</v>
      </c>
      <c r="L4225" s="61" t="s">
        <v>35</v>
      </c>
      <c r="M4225" s="1157"/>
      <c r="N4225" s="1431"/>
      <c r="O4225"/>
      <c r="P4225" s="412"/>
      <c r="Q4225" s="391"/>
      <c r="R4225" s="393"/>
    </row>
    <row r="4226" spans="1:19" ht="30" customHeight="1" x14ac:dyDescent="0.25">
      <c r="A4226" s="365" t="s">
        <v>2684</v>
      </c>
      <c r="B4226" s="366"/>
      <c r="C4226" s="366"/>
      <c r="D4226" s="366"/>
      <c r="E4226" s="366"/>
      <c r="F4226" s="366"/>
      <c r="G4226" s="366"/>
      <c r="H4226" s="366"/>
      <c r="I4226" s="366"/>
      <c r="J4226" s="366"/>
      <c r="K4226" s="366"/>
      <c r="L4226" s="367"/>
      <c r="M4226" s="419"/>
      <c r="N4226" s="1310"/>
      <c r="O4226"/>
      <c r="P4226" s="412"/>
      <c r="Q4226" s="391"/>
      <c r="R4226" s="393"/>
    </row>
    <row r="4227" spans="1:19" s="49" customFormat="1" ht="30" customHeight="1" x14ac:dyDescent="0.25">
      <c r="A4227" s="1559"/>
      <c r="B4227" s="1560"/>
      <c r="C4227" s="1560"/>
      <c r="D4227" s="1560"/>
      <c r="E4227" s="1560"/>
      <c r="F4227" s="1560"/>
      <c r="G4227" s="1560"/>
      <c r="H4227" s="1560"/>
      <c r="I4227" s="1560"/>
      <c r="J4227" s="1560"/>
      <c r="K4227" s="1560"/>
      <c r="L4227" s="1561"/>
      <c r="M4227" s="419"/>
      <c r="N4227" s="1356"/>
      <c r="P4227" s="412"/>
      <c r="Q4227" s="391"/>
      <c r="R4227" s="393"/>
    </row>
    <row r="4228" spans="1:19" ht="30" customHeight="1" thickBot="1" x14ac:dyDescent="0.3">
      <c r="A4228" s="1488"/>
      <c r="B4228" s="1489"/>
      <c r="C4228" s="1489"/>
      <c r="D4228" s="1489"/>
      <c r="E4228" s="1489"/>
      <c r="F4228" s="1489"/>
      <c r="G4228" s="1489"/>
      <c r="H4228" s="1489"/>
      <c r="I4228" s="1489"/>
      <c r="J4228" s="1489"/>
      <c r="K4228" s="1489"/>
      <c r="L4228" s="1490"/>
      <c r="M4228" s="670"/>
      <c r="N4228" s="420"/>
      <c r="O4228"/>
      <c r="P4228" s="412"/>
      <c r="Q4228" s="391"/>
      <c r="R4228" s="393"/>
    </row>
    <row r="4229" spans="1:19" ht="30" customHeight="1" thickBot="1" x14ac:dyDescent="0.3">
      <c r="A4229" s="76"/>
      <c r="B4229" s="77"/>
      <c r="C4229" s="77"/>
      <c r="D4229" s="77"/>
      <c r="E4229" s="77"/>
      <c r="F4229" s="77"/>
      <c r="G4229" s="77"/>
      <c r="H4229" s="77"/>
      <c r="I4229" s="77"/>
      <c r="J4229" s="77"/>
      <c r="K4229" s="77"/>
      <c r="L4229" s="78"/>
      <c r="M4229" s="670"/>
      <c r="N4229" s="420"/>
      <c r="O4229"/>
      <c r="P4229" s="412"/>
      <c r="Q4229" s="391"/>
      <c r="R4229" s="393"/>
      <c r="S4229" s="128"/>
    </row>
    <row r="4230" spans="1:19" ht="30" customHeight="1" x14ac:dyDescent="0.25">
      <c r="A4230" s="306" t="s">
        <v>288</v>
      </c>
      <c r="B4230" s="307">
        <v>8412</v>
      </c>
      <c r="C4230" s="1513" t="s">
        <v>2685</v>
      </c>
      <c r="D4230" s="1514"/>
      <c r="E4230" s="540" t="s">
        <v>291</v>
      </c>
      <c r="F4230" s="541" t="s">
        <v>231</v>
      </c>
      <c r="G4230" s="123" t="s">
        <v>375</v>
      </c>
      <c r="H4230" s="600">
        <v>1319</v>
      </c>
      <c r="I4230" s="540" t="s">
        <v>292</v>
      </c>
      <c r="J4230" s="38" t="s">
        <v>883</v>
      </c>
      <c r="K4230" s="38"/>
      <c r="L4230" s="389"/>
      <c r="M4230" s="419"/>
      <c r="N4230" s="671"/>
      <c r="O4230"/>
      <c r="P4230" s="412"/>
      <c r="Q4230" s="391"/>
      <c r="R4230" s="393"/>
      <c r="S4230" s="128"/>
    </row>
    <row r="4231" spans="1:19" ht="30" customHeight="1" x14ac:dyDescent="0.25">
      <c r="A4231" s="695" t="s">
        <v>529</v>
      </c>
      <c r="B4231" s="883" t="s">
        <v>560</v>
      </c>
      <c r="C4231" s="884"/>
      <c r="D4231" s="885"/>
      <c r="E4231" s="546" t="s">
        <v>519</v>
      </c>
      <c r="F4231" s="546" t="s">
        <v>561</v>
      </c>
      <c r="G4231" s="547" t="s">
        <v>562</v>
      </c>
      <c r="H4231" s="548"/>
      <c r="I4231" s="424" t="s">
        <v>530</v>
      </c>
      <c r="J4231" s="424"/>
      <c r="K4231" s="493" t="s">
        <v>521</v>
      </c>
      <c r="L4231" s="494"/>
      <c r="M4231" s="419"/>
      <c r="N4231" s="671"/>
      <c r="O4231" s="128"/>
      <c r="P4231" s="713"/>
      <c r="Q4231" s="712"/>
      <c r="R4231" s="714"/>
    </row>
    <row r="4232" spans="1:19" ht="30" customHeight="1" x14ac:dyDescent="0.25">
      <c r="A4232" s="24" t="s">
        <v>1591</v>
      </c>
      <c r="B4232" s="138" t="s">
        <v>2686</v>
      </c>
      <c r="C4232" s="139"/>
      <c r="D4232" s="140"/>
      <c r="E4232" s="700">
        <f>+((4.57+5.44)/2)</f>
        <v>5.0050000000000008</v>
      </c>
      <c r="F4232" s="5" t="s">
        <v>2687</v>
      </c>
      <c r="G4232" s="1547">
        <v>1000</v>
      </c>
      <c r="H4232" s="698" t="s">
        <v>2634</v>
      </c>
      <c r="I4232" s="10">
        <v>1.05</v>
      </c>
      <c r="J4232" s="5"/>
      <c r="K4232" s="14">
        <f>+E4232*G4232*I4232</f>
        <v>5255.2500000000009</v>
      </c>
      <c r="L4232" s="5" t="s">
        <v>231</v>
      </c>
      <c r="M4232" s="419"/>
      <c r="N4232" s="420"/>
      <c r="O4232" s="128"/>
      <c r="P4232" s="713"/>
      <c r="Q4232" s="712"/>
      <c r="R4232" s="714"/>
    </row>
    <row r="4233" spans="1:19" s="128" customFormat="1" ht="30" customHeight="1" x14ac:dyDescent="0.25">
      <c r="A4233" s="61"/>
      <c r="B4233" s="498"/>
      <c r="C4233" s="498"/>
      <c r="D4233" s="498"/>
      <c r="E4233" s="405"/>
      <c r="F4233" s="338" t="s">
        <v>533</v>
      </c>
      <c r="G4233" s="339" t="s">
        <v>534</v>
      </c>
      <c r="H4233" s="339"/>
      <c r="I4233" s="339"/>
      <c r="J4233" s="339"/>
      <c r="K4233" s="340">
        <v>1.07</v>
      </c>
      <c r="L4233" s="10"/>
      <c r="M4233" s="419"/>
      <c r="N4233" s="420"/>
      <c r="O4233"/>
      <c r="P4233" s="412"/>
      <c r="Q4233" s="391"/>
      <c r="R4233" s="393"/>
      <c r="S4233"/>
    </row>
    <row r="4234" spans="1:19" ht="30" customHeight="1" x14ac:dyDescent="0.25">
      <c r="A4234" s="61"/>
      <c r="B4234" s="498"/>
      <c r="C4234" s="498"/>
      <c r="D4234" s="498"/>
      <c r="E4234" s="405"/>
      <c r="F4234" s="343"/>
      <c r="G4234" s="344" t="s">
        <v>535</v>
      </c>
      <c r="H4234" s="344"/>
      <c r="I4234" s="344"/>
      <c r="J4234" s="344"/>
      <c r="K4234" s="340">
        <v>1.02</v>
      </c>
      <c r="L4234" s="10"/>
      <c r="M4234" s="425"/>
      <c r="N4234" s="420"/>
      <c r="O4234"/>
      <c r="P4234" s="412"/>
      <c r="Q4234" s="391"/>
      <c r="R4234" s="393"/>
    </row>
    <row r="4235" spans="1:19" ht="30" customHeight="1" x14ac:dyDescent="0.25">
      <c r="A4235" s="1538"/>
      <c r="B4235" s="129"/>
      <c r="C4235" s="130"/>
      <c r="D4235" s="131"/>
      <c r="E4235" s="326"/>
      <c r="F4235" s="5"/>
      <c r="G4235" s="844"/>
      <c r="H4235" s="1041"/>
      <c r="I4235" s="10"/>
      <c r="J4235" s="10" t="s">
        <v>358</v>
      </c>
      <c r="K4235" s="14">
        <f>+K4232*K4233/K4234</f>
        <v>5512.8602941176478</v>
      </c>
      <c r="L4235" s="10" t="s">
        <v>231</v>
      </c>
      <c r="M4235" s="670"/>
      <c r="N4235" s="1603"/>
      <c r="O4235"/>
      <c r="P4235" s="412"/>
      <c r="Q4235" s="391"/>
      <c r="R4235" s="393"/>
    </row>
    <row r="4236" spans="1:19" ht="30" customHeight="1" x14ac:dyDescent="0.25">
      <c r="A4236" s="1538"/>
      <c r="B4236" s="141"/>
      <c r="C4236" s="142"/>
      <c r="D4236" s="143"/>
      <c r="E4236" s="326"/>
      <c r="F4236" s="5"/>
      <c r="G4236" s="413" t="s">
        <v>537</v>
      </c>
      <c r="H4236" s="1041"/>
      <c r="I4236" s="10"/>
      <c r="J4236" s="361">
        <f>VLOOKUP(B4230,'Mil Cost Premiums for RUCs'!$A$4:$R$265,18,FALSE)</f>
        <v>1.1199953840399997</v>
      </c>
      <c r="K4236" s="14">
        <f>+K4235*J4236</f>
        <v>6174.3780822691606</v>
      </c>
      <c r="L4236" s="10" t="s">
        <v>231</v>
      </c>
      <c r="N4236" s="420"/>
      <c r="O4236" s="43"/>
      <c r="P4236" s="672"/>
      <c r="Q4236" s="671"/>
      <c r="R4236" s="673"/>
    </row>
    <row r="4237" spans="1:19" ht="30" customHeight="1" x14ac:dyDescent="0.25">
      <c r="A4237" s="580" t="s">
        <v>538</v>
      </c>
      <c r="B4237" s="532"/>
      <c r="C4237" s="532"/>
      <c r="D4237" s="532"/>
      <c r="E4237" s="532"/>
      <c r="F4237" s="532"/>
      <c r="G4237" s="532"/>
      <c r="H4237" s="532"/>
      <c r="I4237" s="532"/>
      <c r="J4237" s="532"/>
      <c r="K4237" s="532"/>
      <c r="L4237" s="533"/>
      <c r="N4237" s="420"/>
      <c r="O4237" s="43"/>
      <c r="P4237" s="672"/>
      <c r="Q4237" s="671"/>
      <c r="R4237" s="673"/>
    </row>
    <row r="4238" spans="1:19" ht="30" customHeight="1" x14ac:dyDescent="0.25">
      <c r="A4238" s="217" t="s">
        <v>539</v>
      </c>
      <c r="B4238" s="218"/>
      <c r="C4238" s="219"/>
      <c r="D4238" s="386" t="s">
        <v>2688</v>
      </c>
      <c r="E4238" s="849"/>
      <c r="F4238" s="849"/>
      <c r="G4238" s="849"/>
      <c r="H4238" s="849"/>
      <c r="I4238" s="849"/>
      <c r="J4238" s="849"/>
      <c r="K4238" s="849"/>
      <c r="L4238" s="850"/>
      <c r="O4238"/>
      <c r="P4238" s="412"/>
      <c r="Q4238" s="391"/>
      <c r="R4238" s="393"/>
    </row>
    <row r="4239" spans="1:19" ht="30" customHeight="1" x14ac:dyDescent="0.25">
      <c r="A4239" s="217" t="s">
        <v>541</v>
      </c>
      <c r="B4239" s="218"/>
      <c r="C4239" s="219"/>
      <c r="D4239" s="386" t="s">
        <v>2689</v>
      </c>
      <c r="E4239" s="849"/>
      <c r="F4239" s="849"/>
      <c r="G4239" s="849"/>
      <c r="H4239" s="849"/>
      <c r="I4239" s="849"/>
      <c r="J4239" s="849"/>
      <c r="K4239" s="849"/>
      <c r="L4239" s="850"/>
      <c r="O4239"/>
    </row>
    <row r="4240" spans="1:19" ht="30" customHeight="1" x14ac:dyDescent="0.25">
      <c r="A4240" s="217" t="s">
        <v>543</v>
      </c>
      <c r="B4240" s="218"/>
      <c r="C4240" s="219"/>
      <c r="D4240" s="386" t="s">
        <v>2690</v>
      </c>
      <c r="E4240" s="849"/>
      <c r="F4240" s="849"/>
      <c r="G4240" s="849"/>
      <c r="H4240" s="849"/>
      <c r="I4240" s="849"/>
      <c r="J4240" s="849"/>
      <c r="K4240" s="849"/>
      <c r="L4240" s="850"/>
      <c r="O4240"/>
    </row>
    <row r="4241" spans="1:19" ht="30" customHeight="1" x14ac:dyDescent="0.25">
      <c r="A4241" s="217" t="s">
        <v>546</v>
      </c>
      <c r="B4241" s="218"/>
      <c r="C4241" s="219"/>
      <c r="D4241" s="386" t="s">
        <v>2691</v>
      </c>
      <c r="E4241" s="849"/>
      <c r="F4241" s="849"/>
      <c r="G4241" s="849"/>
      <c r="H4241" s="849"/>
      <c r="I4241" s="849"/>
      <c r="J4241" s="849"/>
      <c r="K4241" s="849"/>
      <c r="L4241" s="850"/>
      <c r="N4241" s="1562"/>
      <c r="O4241"/>
    </row>
    <row r="4242" spans="1:19" s="49" customFormat="1" ht="30" customHeight="1" x14ac:dyDescent="0.25">
      <c r="A4242" s="217" t="s">
        <v>548</v>
      </c>
      <c r="B4242" s="218"/>
      <c r="C4242" s="219"/>
      <c r="D4242" s="386" t="s">
        <v>2691</v>
      </c>
      <c r="E4242" s="849"/>
      <c r="F4242" s="849"/>
      <c r="G4242" s="849"/>
      <c r="H4242" s="849"/>
      <c r="I4242" s="849"/>
      <c r="J4242" s="849"/>
      <c r="K4242" s="849"/>
      <c r="L4242" s="850"/>
      <c r="M4242" s="502"/>
      <c r="N4242" s="1603"/>
    </row>
    <row r="4243" spans="1:19" ht="30" customHeight="1" x14ac:dyDescent="0.25">
      <c r="A4243" s="217" t="s">
        <v>550</v>
      </c>
      <c r="B4243" s="218"/>
      <c r="C4243" s="219"/>
      <c r="D4243" s="386" t="s">
        <v>2441</v>
      </c>
      <c r="E4243" s="849"/>
      <c r="F4243" s="849"/>
      <c r="G4243" s="849"/>
      <c r="H4243" s="849"/>
      <c r="I4243" s="849"/>
      <c r="J4243" s="849"/>
      <c r="K4243" s="849"/>
      <c r="L4243" s="850"/>
      <c r="N4243" s="1603"/>
      <c r="O4243"/>
    </row>
    <row r="4244" spans="1:19" ht="30" customHeight="1" x14ac:dyDescent="0.25">
      <c r="A4244" s="217" t="s">
        <v>552</v>
      </c>
      <c r="B4244" s="218"/>
      <c r="C4244" s="219"/>
      <c r="D4244" s="386" t="s">
        <v>2692</v>
      </c>
      <c r="E4244" s="849"/>
      <c r="F4244" s="849"/>
      <c r="G4244" s="849"/>
      <c r="H4244" s="849"/>
      <c r="I4244" s="849"/>
      <c r="J4244" s="849"/>
      <c r="K4244" s="849"/>
      <c r="L4244" s="850"/>
      <c r="O4244"/>
    </row>
    <row r="4245" spans="1:19" ht="30" customHeight="1" x14ac:dyDescent="0.25">
      <c r="A4245" s="217" t="s">
        <v>553</v>
      </c>
      <c r="B4245" s="218"/>
      <c r="C4245" s="219"/>
      <c r="D4245" s="386" t="s">
        <v>554</v>
      </c>
      <c r="E4245" s="849"/>
      <c r="F4245" s="849"/>
      <c r="G4245" s="849"/>
      <c r="H4245" s="849"/>
      <c r="I4245" s="849"/>
      <c r="J4245" s="849"/>
      <c r="K4245" s="849"/>
      <c r="L4245" s="850"/>
      <c r="N4245" s="671"/>
      <c r="O4245"/>
    </row>
    <row r="4246" spans="1:19" s="25" customFormat="1" ht="45" customHeight="1" thickBot="1" x14ac:dyDescent="0.3">
      <c r="A4246" s="1014" t="s">
        <v>556</v>
      </c>
      <c r="B4246" s="1015"/>
      <c r="C4246" s="1016"/>
      <c r="D4246" s="386" t="s">
        <v>2693</v>
      </c>
      <c r="E4246" s="849"/>
      <c r="F4246" s="849"/>
      <c r="G4246" s="849"/>
      <c r="H4246" s="849"/>
      <c r="I4246" s="849"/>
      <c r="J4246" s="849"/>
      <c r="K4246" s="849"/>
      <c r="L4246" s="850"/>
      <c r="M4246" s="419"/>
      <c r="N4246" s="671"/>
    </row>
    <row r="4247" spans="1:19" ht="30" customHeight="1" thickBot="1" x14ac:dyDescent="0.3">
      <c r="A4247" s="76"/>
      <c r="B4247" s="77"/>
      <c r="C4247" s="77"/>
      <c r="D4247" s="77"/>
      <c r="E4247" s="77"/>
      <c r="F4247" s="77"/>
      <c r="G4247" s="77"/>
      <c r="H4247" s="77"/>
      <c r="I4247" s="77"/>
      <c r="J4247" s="77"/>
      <c r="K4247" s="77"/>
      <c r="L4247" s="78"/>
      <c r="N4247" s="1562"/>
      <c r="O4247"/>
    </row>
    <row r="4248" spans="1:19" s="49" customFormat="1" ht="30" customHeight="1" x14ac:dyDescent="0.25">
      <c r="A4248" s="207" t="s">
        <v>288</v>
      </c>
      <c r="B4248" s="208">
        <v>8413</v>
      </c>
      <c r="C4248" s="209" t="s">
        <v>2694</v>
      </c>
      <c r="D4248" s="210"/>
      <c r="E4248" s="177" t="s">
        <v>291</v>
      </c>
      <c r="F4248" s="178" t="s">
        <v>6</v>
      </c>
      <c r="G4248" s="123" t="s">
        <v>375</v>
      </c>
      <c r="H4248" s="1425">
        <v>351092</v>
      </c>
      <c r="I4248" s="177" t="s">
        <v>292</v>
      </c>
      <c r="J4248" s="38" t="s">
        <v>2695</v>
      </c>
      <c r="K4248" s="39"/>
      <c r="L4248" s="40"/>
      <c r="M4248" s="1430"/>
      <c r="N4248" s="420"/>
    </row>
    <row r="4249" spans="1:19" ht="30" customHeight="1" x14ac:dyDescent="0.25">
      <c r="A4249" s="181" t="s">
        <v>517</v>
      </c>
      <c r="B4249" s="394" t="s">
        <v>560</v>
      </c>
      <c r="C4249" s="395"/>
      <c r="D4249" s="396"/>
      <c r="E4249" s="397" t="s">
        <v>519</v>
      </c>
      <c r="F4249" s="397" t="s">
        <v>561</v>
      </c>
      <c r="G4249" s="398" t="s">
        <v>562</v>
      </c>
      <c r="H4249" s="399"/>
      <c r="I4249" s="286" t="s">
        <v>702</v>
      </c>
      <c r="J4249" s="287"/>
      <c r="K4249" s="493" t="s">
        <v>521</v>
      </c>
      <c r="L4249" s="494"/>
      <c r="M4249" s="967"/>
      <c r="O4249"/>
    </row>
    <row r="4250" spans="1:19" ht="30" customHeight="1" x14ac:dyDescent="0.25">
      <c r="A4250" s="20">
        <v>84620</v>
      </c>
      <c r="B4250" s="402" t="s">
        <v>2696</v>
      </c>
      <c r="C4250" s="403"/>
      <c r="D4250" s="404"/>
      <c r="E4250" s="760">
        <v>454100</v>
      </c>
      <c r="F4250" s="22" t="s">
        <v>11</v>
      </c>
      <c r="G4250" s="1563">
        <v>250000</v>
      </c>
      <c r="H4250" s="758" t="s">
        <v>1808</v>
      </c>
      <c r="I4250" s="1109">
        <f>+'MILCON Inflation Table'!$F$17</f>
        <v>0.9432470865927236</v>
      </c>
      <c r="J4250" s="1110"/>
      <c r="K4250" s="23">
        <f>+E4250/G4250*I4250</f>
        <v>1.7133140080870233</v>
      </c>
      <c r="L4250" s="22" t="s">
        <v>6</v>
      </c>
      <c r="N4250" s="1431"/>
      <c r="O4250"/>
    </row>
    <row r="4251" spans="1:19" ht="30" customHeight="1" x14ac:dyDescent="0.25">
      <c r="A4251" s="20">
        <v>84620</v>
      </c>
      <c r="B4251" s="402" t="s">
        <v>2697</v>
      </c>
      <c r="C4251" s="403"/>
      <c r="D4251" s="404"/>
      <c r="E4251" s="405">
        <v>637910</v>
      </c>
      <c r="F4251" s="20" t="s">
        <v>11</v>
      </c>
      <c r="G4251" s="1564">
        <v>500000</v>
      </c>
      <c r="H4251" s="649" t="s">
        <v>1808</v>
      </c>
      <c r="I4251" s="1109">
        <f>+'MILCON Inflation Table'!$F$17</f>
        <v>0.9432470865927236</v>
      </c>
      <c r="J4251" s="1110"/>
      <c r="K4251" s="23">
        <f>+E4251/G4251*I4251</f>
        <v>1.2034134980167286</v>
      </c>
      <c r="L4251" s="20" t="s">
        <v>6</v>
      </c>
      <c r="N4251" s="486"/>
      <c r="O4251"/>
    </row>
    <row r="4252" spans="1:19" ht="30" customHeight="1" x14ac:dyDescent="0.25">
      <c r="A4252" s="778"/>
      <c r="B4252" s="186"/>
      <c r="C4252" s="186"/>
      <c r="D4252" s="186"/>
      <c r="E4252" s="405"/>
      <c r="F4252" s="20"/>
      <c r="G4252" s="20"/>
      <c r="H4252" s="20"/>
      <c r="I4252" s="20"/>
      <c r="J4252" s="20" t="s">
        <v>536</v>
      </c>
      <c r="K4252" s="405">
        <f>AVERAGE(K4250:K4251)</f>
        <v>1.4583637530518758</v>
      </c>
      <c r="L4252" s="20" t="s">
        <v>6</v>
      </c>
      <c r="O4252"/>
    </row>
    <row r="4253" spans="1:19" ht="30" customHeight="1" thickBot="1" x14ac:dyDescent="0.3">
      <c r="A4253" s="20"/>
      <c r="B4253" s="20"/>
      <c r="C4253" s="18"/>
      <c r="D4253" s="18"/>
      <c r="E4253" s="18"/>
      <c r="F4253" s="18"/>
      <c r="G4253" s="18"/>
      <c r="H4253" s="18"/>
      <c r="I4253" s="18"/>
      <c r="J4253" s="185" t="s">
        <v>358</v>
      </c>
      <c r="K4253" s="23">
        <f>+K4252</f>
        <v>1.4583637530518758</v>
      </c>
      <c r="L4253" s="20" t="s">
        <v>6</v>
      </c>
      <c r="O4253"/>
      <c r="P4253" s="412"/>
      <c r="Q4253" s="391"/>
      <c r="R4253" s="393"/>
    </row>
    <row r="4254" spans="1:19" ht="30" customHeight="1" thickBot="1" x14ac:dyDescent="0.3">
      <c r="A4254" s="76"/>
      <c r="B4254" s="77"/>
      <c r="C4254" s="77"/>
      <c r="D4254" s="77"/>
      <c r="E4254" s="77"/>
      <c r="F4254" s="77"/>
      <c r="G4254" s="77"/>
      <c r="H4254" s="77"/>
      <c r="I4254" s="77"/>
      <c r="J4254" s="77"/>
      <c r="K4254" s="77"/>
      <c r="L4254" s="78"/>
      <c r="O4254"/>
      <c r="P4254" s="412"/>
      <c r="Q4254" s="391"/>
      <c r="R4254" s="393"/>
    </row>
    <row r="4255" spans="1:19" ht="30" customHeight="1" x14ac:dyDescent="0.25">
      <c r="A4255" s="30" t="s">
        <v>288</v>
      </c>
      <c r="B4255" s="31">
        <v>8414</v>
      </c>
      <c r="C4255" s="161" t="s">
        <v>2698</v>
      </c>
      <c r="D4255" s="162"/>
      <c r="E4255" s="36" t="s">
        <v>291</v>
      </c>
      <c r="F4255" s="37" t="s">
        <v>231</v>
      </c>
      <c r="G4255" s="123" t="s">
        <v>375</v>
      </c>
      <c r="H4255" s="179">
        <v>1216</v>
      </c>
      <c r="I4255" s="177" t="s">
        <v>292</v>
      </c>
      <c r="J4255" s="38" t="s">
        <v>883</v>
      </c>
      <c r="K4255" s="38"/>
      <c r="L4255" s="389"/>
      <c r="M4255" s="502"/>
      <c r="O4255" s="128"/>
      <c r="P4255" s="713"/>
      <c r="Q4255" s="712"/>
      <c r="R4255" s="714"/>
    </row>
    <row r="4256" spans="1:19" s="1533" customFormat="1" ht="30" customHeight="1" x14ac:dyDescent="0.25">
      <c r="A4256" s="48" t="s">
        <v>529</v>
      </c>
      <c r="B4256" s="490" t="s">
        <v>560</v>
      </c>
      <c r="C4256" s="491"/>
      <c r="D4256" s="492"/>
      <c r="E4256" s="793" t="s">
        <v>519</v>
      </c>
      <c r="F4256" s="793" t="s">
        <v>561</v>
      </c>
      <c r="G4256" s="398" t="s">
        <v>562</v>
      </c>
      <c r="H4256" s="399"/>
      <c r="I4256" s="181" t="s">
        <v>530</v>
      </c>
      <c r="J4256" s="44"/>
      <c r="K4256" s="493" t="s">
        <v>521</v>
      </c>
      <c r="L4256" s="494"/>
      <c r="M4256" s="25"/>
      <c r="N4256" s="25"/>
      <c r="P4256" s="713"/>
      <c r="Q4256" s="712"/>
      <c r="R4256" s="714"/>
      <c r="S4256" s="49"/>
    </row>
    <row r="4257" spans="1:19" s="128" customFormat="1" ht="30" customHeight="1" x14ac:dyDescent="0.25">
      <c r="A4257" s="61" t="s">
        <v>815</v>
      </c>
      <c r="B4257" s="402" t="s">
        <v>2699</v>
      </c>
      <c r="C4257" s="403"/>
      <c r="D4257" s="404"/>
      <c r="E4257" s="760">
        <f>200*52.5</f>
        <v>10500</v>
      </c>
      <c r="F4257" s="157" t="s">
        <v>11</v>
      </c>
      <c r="G4257" s="1877">
        <f>+H4255</f>
        <v>1216</v>
      </c>
      <c r="H4257" s="1565" t="s">
        <v>2638</v>
      </c>
      <c r="I4257" s="20">
        <v>1.04</v>
      </c>
      <c r="J4257" s="157"/>
      <c r="K4257" s="21">
        <f>+E4257/G4257*I4257</f>
        <v>8.9802631578947381</v>
      </c>
      <c r="L4257" s="157" t="s">
        <v>231</v>
      </c>
      <c r="M4257" s="433"/>
      <c r="N4257" s="502"/>
      <c r="P4257" s="713"/>
      <c r="Q4257" s="712"/>
      <c r="R4257" s="714"/>
      <c r="S4257"/>
    </row>
    <row r="4258" spans="1:19" ht="30" customHeight="1" x14ac:dyDescent="0.25">
      <c r="A4258" s="61" t="s">
        <v>2700</v>
      </c>
      <c r="B4258" s="503" t="s">
        <v>2701</v>
      </c>
      <c r="C4258" s="504"/>
      <c r="D4258" s="505"/>
      <c r="E4258" s="405">
        <v>14000</v>
      </c>
      <c r="F4258" s="644" t="s">
        <v>11</v>
      </c>
      <c r="G4258" s="1564">
        <v>648</v>
      </c>
      <c r="H4258" s="634" t="s">
        <v>2702</v>
      </c>
      <c r="I4258" s="649">
        <v>1.06</v>
      </c>
      <c r="J4258" s="61"/>
      <c r="K4258" s="21">
        <f>+E4258/G4258*I4258</f>
        <v>22.901234567901234</v>
      </c>
      <c r="L4258" s="61" t="s">
        <v>231</v>
      </c>
      <c r="M4258" s="1368"/>
      <c r="N4258" s="1310"/>
      <c r="O4258" s="43"/>
      <c r="P4258" s="672"/>
      <c r="Q4258" s="671"/>
      <c r="R4258" s="673"/>
    </row>
    <row r="4259" spans="1:19" ht="30" customHeight="1" x14ac:dyDescent="0.25">
      <c r="A4259" s="1334"/>
      <c r="B4259" s="503" t="s">
        <v>2703</v>
      </c>
      <c r="C4259" s="504"/>
      <c r="D4259" s="504"/>
      <c r="E4259" s="504"/>
      <c r="F4259" s="505"/>
      <c r="G4259" s="157"/>
      <c r="H4259" s="157"/>
      <c r="I4259" s="61"/>
      <c r="J4259" s="61" t="s">
        <v>578</v>
      </c>
      <c r="K4259" s="530">
        <f>SUM(K4257:K4258)</f>
        <v>31.881497725795974</v>
      </c>
      <c r="L4259" s="61" t="s">
        <v>231</v>
      </c>
      <c r="M4259" s="1368"/>
      <c r="N4259" s="1310"/>
      <c r="O4259" s="43"/>
      <c r="P4259" s="672"/>
      <c r="Q4259" s="671"/>
      <c r="R4259" s="673"/>
    </row>
    <row r="4260" spans="1:19" s="128" customFormat="1" ht="30" customHeight="1" x14ac:dyDescent="0.25">
      <c r="A4260" s="61"/>
      <c r="B4260" s="498"/>
      <c r="C4260" s="498"/>
      <c r="D4260" s="498"/>
      <c r="E4260" s="530"/>
      <c r="F4260" s="676" t="s">
        <v>533</v>
      </c>
      <c r="G4260" s="339" t="s">
        <v>534</v>
      </c>
      <c r="H4260" s="339"/>
      <c r="I4260" s="339"/>
      <c r="J4260" s="339"/>
      <c r="K4260" s="340">
        <v>1.07</v>
      </c>
      <c r="L4260" s="24"/>
      <c r="M4260" s="25"/>
      <c r="N4260" s="25"/>
      <c r="P4260" s="713"/>
      <c r="Q4260" s="712"/>
      <c r="R4260" s="714"/>
      <c r="S4260"/>
    </row>
    <row r="4261" spans="1:19" s="128" customFormat="1" ht="30" customHeight="1" x14ac:dyDescent="0.25">
      <c r="A4261" s="61"/>
      <c r="B4261" s="498"/>
      <c r="C4261" s="498"/>
      <c r="D4261" s="498"/>
      <c r="E4261" s="530"/>
      <c r="F4261" s="678"/>
      <c r="G4261" s="344" t="s">
        <v>535</v>
      </c>
      <c r="H4261" s="344"/>
      <c r="I4261" s="344"/>
      <c r="J4261" s="344"/>
      <c r="K4261" s="340">
        <v>1.02</v>
      </c>
      <c r="L4261" s="24"/>
      <c r="M4261" s="25"/>
      <c r="N4261" s="25"/>
      <c r="P4261" s="713"/>
      <c r="Q4261" s="712"/>
      <c r="R4261" s="714"/>
      <c r="S4261"/>
    </row>
    <row r="4262" spans="1:19" s="128" customFormat="1" ht="30" customHeight="1" x14ac:dyDescent="0.25">
      <c r="A4262" s="61"/>
      <c r="B4262" s="61"/>
      <c r="C4262" s="63"/>
      <c r="D4262" s="63"/>
      <c r="E4262" s="63"/>
      <c r="F4262" s="63"/>
      <c r="G4262" s="18"/>
      <c r="H4262" s="18"/>
      <c r="I4262" s="18"/>
      <c r="J4262" s="20" t="s">
        <v>358</v>
      </c>
      <c r="K4262" s="23">
        <f>+K4259*K4260/K4261</f>
        <v>33.444316241766366</v>
      </c>
      <c r="L4262" s="61" t="s">
        <v>231</v>
      </c>
      <c r="M4262" s="419"/>
      <c r="N4262" s="25"/>
      <c r="P4262" s="713"/>
      <c r="Q4262" s="712"/>
      <c r="R4262" s="714"/>
      <c r="S4262"/>
    </row>
    <row r="4263" spans="1:19" s="128" customFormat="1" ht="30" customHeight="1" thickBot="1" x14ac:dyDescent="0.3">
      <c r="A4263" s="61"/>
      <c r="B4263" s="61"/>
      <c r="C4263" s="63"/>
      <c r="D4263" s="63"/>
      <c r="E4263" s="63"/>
      <c r="F4263" s="63"/>
      <c r="G4263" s="413" t="s">
        <v>537</v>
      </c>
      <c r="H4263" s="18"/>
      <c r="I4263" s="18"/>
      <c r="J4263" s="361">
        <f>VLOOKUP(B4255,'Mil Cost Premiums for RUCs'!$A$4:$R$265,18,FALSE)</f>
        <v>1.0209999999999999</v>
      </c>
      <c r="K4263" s="23">
        <f>+K4262*J4263</f>
        <v>34.146646882843456</v>
      </c>
      <c r="L4263" s="61" t="s">
        <v>231</v>
      </c>
      <c r="M4263" s="425"/>
      <c r="N4263" s="25"/>
      <c r="P4263" s="713"/>
      <c r="Q4263" s="712"/>
      <c r="R4263" s="714"/>
      <c r="S4263"/>
    </row>
    <row r="4264" spans="1:19" s="128" customFormat="1" ht="30" customHeight="1" thickBot="1" x14ac:dyDescent="0.3">
      <c r="A4264" s="76"/>
      <c r="B4264" s="77"/>
      <c r="C4264" s="77"/>
      <c r="D4264" s="77"/>
      <c r="E4264" s="77"/>
      <c r="F4264" s="77"/>
      <c r="G4264" s="77"/>
      <c r="H4264" s="77"/>
      <c r="I4264" s="77"/>
      <c r="J4264" s="77"/>
      <c r="K4264" s="77"/>
      <c r="L4264" s="78"/>
      <c r="M4264" s="419"/>
      <c r="N4264" s="420"/>
      <c r="P4264" s="713"/>
      <c r="Q4264" s="712"/>
      <c r="R4264" s="714"/>
      <c r="S4264"/>
    </row>
    <row r="4265" spans="1:19" s="128" customFormat="1" ht="30" customHeight="1" x14ac:dyDescent="0.25">
      <c r="A4265" s="306" t="s">
        <v>288</v>
      </c>
      <c r="B4265" s="307">
        <v>8421</v>
      </c>
      <c r="C4265" s="880" t="s">
        <v>2704</v>
      </c>
      <c r="D4265" s="881"/>
      <c r="E4265" s="540" t="s">
        <v>291</v>
      </c>
      <c r="F4265" s="541" t="s">
        <v>7</v>
      </c>
      <c r="G4265" s="123" t="s">
        <v>375</v>
      </c>
      <c r="H4265" s="600">
        <v>18204</v>
      </c>
      <c r="I4265" s="540" t="s">
        <v>292</v>
      </c>
      <c r="J4265" s="38" t="s">
        <v>883</v>
      </c>
      <c r="K4265" s="38"/>
      <c r="L4265" s="389"/>
      <c r="M4265" s="670"/>
      <c r="N4265" s="420"/>
      <c r="P4265" s="713"/>
      <c r="Q4265" s="712"/>
      <c r="R4265" s="714"/>
      <c r="S4265"/>
    </row>
    <row r="4266" spans="1:19" s="128" customFormat="1" ht="30" customHeight="1" x14ac:dyDescent="0.25">
      <c r="A4266" s="695" t="s">
        <v>529</v>
      </c>
      <c r="B4266" s="883" t="s">
        <v>560</v>
      </c>
      <c r="C4266" s="884"/>
      <c r="D4266" s="885"/>
      <c r="E4266" s="546" t="s">
        <v>519</v>
      </c>
      <c r="F4266" s="546" t="s">
        <v>561</v>
      </c>
      <c r="G4266" s="547" t="s">
        <v>562</v>
      </c>
      <c r="H4266" s="548"/>
      <c r="I4266" s="424" t="s">
        <v>530</v>
      </c>
      <c r="J4266" s="424"/>
      <c r="K4266" s="493" t="s">
        <v>521</v>
      </c>
      <c r="L4266" s="494"/>
      <c r="M4266" s="670"/>
      <c r="N4266" s="1603"/>
      <c r="P4266" s="713"/>
      <c r="Q4266" s="712"/>
      <c r="R4266" s="714"/>
      <c r="S4266"/>
    </row>
    <row r="4267" spans="1:19" s="128" customFormat="1" ht="30" customHeight="1" x14ac:dyDescent="0.25">
      <c r="A4267" s="24" t="s">
        <v>574</v>
      </c>
      <c r="B4267" s="141" t="s">
        <v>2705</v>
      </c>
      <c r="C4267" s="142"/>
      <c r="D4267" s="143"/>
      <c r="E4267" s="700">
        <v>36.42</v>
      </c>
      <c r="F4267" s="5" t="s">
        <v>7</v>
      </c>
      <c r="G4267" s="1547"/>
      <c r="H4267" s="698"/>
      <c r="I4267" s="10">
        <v>1.04</v>
      </c>
      <c r="J4267" s="5"/>
      <c r="K4267" s="14">
        <f>+E4267*I4267</f>
        <v>37.876800000000003</v>
      </c>
      <c r="L4267" s="5" t="s">
        <v>7</v>
      </c>
      <c r="M4267" s="419"/>
      <c r="N4267" s="671"/>
      <c r="P4267" s="713"/>
      <c r="Q4267" s="712"/>
      <c r="R4267" s="714"/>
      <c r="S4267"/>
    </row>
    <row r="4268" spans="1:19" s="128" customFormat="1" ht="30" customHeight="1" x14ac:dyDescent="0.25">
      <c r="A4268" s="24" t="s">
        <v>574</v>
      </c>
      <c r="B4268" s="141" t="s">
        <v>2706</v>
      </c>
      <c r="C4268" s="142"/>
      <c r="D4268" s="143"/>
      <c r="E4268" s="700">
        <v>25.6</v>
      </c>
      <c r="F4268" s="5" t="s">
        <v>7</v>
      </c>
      <c r="G4268" s="1547"/>
      <c r="H4268" s="698"/>
      <c r="I4268" s="10">
        <v>1.04</v>
      </c>
      <c r="J4268" s="5"/>
      <c r="K4268" s="14">
        <f>+E4268*I4268</f>
        <v>26.624000000000002</v>
      </c>
      <c r="L4268" s="5" t="s">
        <v>7</v>
      </c>
      <c r="M4268" s="419"/>
      <c r="N4268" s="671"/>
      <c r="P4268" s="713"/>
      <c r="Q4268" s="712"/>
      <c r="R4268" s="714"/>
      <c r="S4268"/>
    </row>
    <row r="4269" spans="1:19" s="128" customFormat="1" ht="30" customHeight="1" x14ac:dyDescent="0.25">
      <c r="A4269" s="24" t="s">
        <v>574</v>
      </c>
      <c r="B4269" s="141" t="s">
        <v>2707</v>
      </c>
      <c r="C4269" s="142"/>
      <c r="D4269" s="143"/>
      <c r="E4269" s="700">
        <v>15.21</v>
      </c>
      <c r="F4269" s="5" t="s">
        <v>7</v>
      </c>
      <c r="G4269" s="556"/>
      <c r="H4269" s="556"/>
      <c r="I4269" s="10">
        <v>1.04</v>
      </c>
      <c r="J4269" s="5"/>
      <c r="K4269" s="14">
        <f>+E4269*I4269</f>
        <v>15.818400000000002</v>
      </c>
      <c r="L4269" s="5" t="s">
        <v>7</v>
      </c>
      <c r="M4269" s="419"/>
      <c r="N4269" s="1603"/>
      <c r="P4269" s="713"/>
      <c r="Q4269" s="712"/>
      <c r="R4269" s="714"/>
      <c r="S4269"/>
    </row>
    <row r="4270" spans="1:19" s="128" customFormat="1" ht="30" customHeight="1" x14ac:dyDescent="0.25">
      <c r="A4270" s="24"/>
      <c r="B4270" s="141"/>
      <c r="C4270" s="142"/>
      <c r="D4270" s="143"/>
      <c r="E4270" s="700"/>
      <c r="F4270" s="5"/>
      <c r="G4270" s="441" t="s">
        <v>2657</v>
      </c>
      <c r="H4270" s="437"/>
      <c r="I4270" s="10"/>
      <c r="J4270" s="5"/>
      <c r="K4270" s="14">
        <f>AVERAGE(K4267:K4269)</f>
        <v>26.773066666666665</v>
      </c>
      <c r="L4270" s="5" t="s">
        <v>7</v>
      </c>
      <c r="M4270" s="419"/>
      <c r="N4270" s="1603"/>
      <c r="P4270" s="713"/>
      <c r="Q4270" s="712"/>
      <c r="R4270" s="714"/>
      <c r="S4270"/>
    </row>
    <row r="4271" spans="1:19" ht="30" customHeight="1" x14ac:dyDescent="0.25">
      <c r="A4271" s="61"/>
      <c r="B4271" s="498"/>
      <c r="C4271" s="498"/>
      <c r="D4271" s="498"/>
      <c r="E4271" s="405"/>
      <c r="F4271" s="338" t="s">
        <v>533</v>
      </c>
      <c r="G4271" s="339" t="s">
        <v>534</v>
      </c>
      <c r="H4271" s="339"/>
      <c r="I4271" s="339"/>
      <c r="J4271" s="339"/>
      <c r="K4271" s="340">
        <v>1.07</v>
      </c>
      <c r="L4271" s="10"/>
      <c r="M4271" s="419"/>
      <c r="N4271" s="1603"/>
      <c r="O4271"/>
      <c r="P4271" s="412"/>
      <c r="Q4271" s="391"/>
      <c r="R4271" s="393"/>
    </row>
    <row r="4272" spans="1:19" ht="30" customHeight="1" x14ac:dyDescent="0.25">
      <c r="A4272" s="61"/>
      <c r="B4272" s="498"/>
      <c r="C4272" s="498"/>
      <c r="D4272" s="498"/>
      <c r="E4272" s="405"/>
      <c r="F4272" s="343"/>
      <c r="G4272" s="344" t="s">
        <v>535</v>
      </c>
      <c r="H4272" s="344"/>
      <c r="I4272" s="344"/>
      <c r="J4272" s="344"/>
      <c r="K4272" s="340">
        <v>1.02</v>
      </c>
      <c r="L4272" s="10"/>
      <c r="M4272" s="419"/>
      <c r="N4272" s="1603"/>
      <c r="O4272"/>
      <c r="P4272" s="412"/>
      <c r="Q4272" s="391"/>
      <c r="R4272" s="393"/>
    </row>
    <row r="4273" spans="1:19" ht="30" customHeight="1" x14ac:dyDescent="0.25">
      <c r="A4273" s="24"/>
      <c r="B4273" s="24"/>
      <c r="C4273" s="64"/>
      <c r="D4273" s="64"/>
      <c r="E4273" s="13"/>
      <c r="F4273" s="13"/>
      <c r="G4273" s="13"/>
      <c r="H4273" s="13"/>
      <c r="I4273" s="13"/>
      <c r="J4273" s="10" t="s">
        <v>358</v>
      </c>
      <c r="K4273" s="14">
        <f>+K4270*K4271/K4272</f>
        <v>28.085471895424835</v>
      </c>
      <c r="L4273" s="10" t="s">
        <v>7</v>
      </c>
      <c r="M4273" s="419"/>
      <c r="N4273" s="1603"/>
      <c r="O4273"/>
      <c r="P4273" s="412"/>
      <c r="Q4273" s="391"/>
      <c r="R4273" s="393"/>
    </row>
    <row r="4274" spans="1:19" s="49" customFormat="1" ht="30" customHeight="1" x14ac:dyDescent="0.25">
      <c r="A4274" s="24"/>
      <c r="B4274" s="24"/>
      <c r="C4274" s="64"/>
      <c r="D4274" s="64"/>
      <c r="E4274" s="13"/>
      <c r="F4274" s="13"/>
      <c r="G4274" s="413" t="s">
        <v>537</v>
      </c>
      <c r="H4274" s="13"/>
      <c r="I4274" s="13"/>
      <c r="J4274" s="361">
        <f>VLOOKUP(B4265,'Mil Cost Premiums for RUCs'!$A$4:$R$265,18,FALSE)</f>
        <v>1.0905505199999999</v>
      </c>
      <c r="K4274" s="14">
        <f>+K4273*J4274</f>
        <v>30.628625980000937</v>
      </c>
      <c r="L4274" s="10" t="s">
        <v>7</v>
      </c>
      <c r="M4274" s="419"/>
      <c r="N4274" s="1603"/>
      <c r="P4274" s="412"/>
      <c r="Q4274" s="391"/>
      <c r="R4274" s="393"/>
    </row>
    <row r="4275" spans="1:19" s="128" customFormat="1" ht="78.75" customHeight="1" x14ac:dyDescent="0.25">
      <c r="A4275" s="580" t="s">
        <v>538</v>
      </c>
      <c r="B4275" s="532"/>
      <c r="C4275" s="532"/>
      <c r="D4275" s="532"/>
      <c r="E4275" s="532"/>
      <c r="F4275" s="532"/>
      <c r="G4275" s="532"/>
      <c r="H4275" s="532"/>
      <c r="I4275" s="532"/>
      <c r="J4275" s="532"/>
      <c r="K4275" s="532"/>
      <c r="L4275" s="533"/>
      <c r="M4275" s="419"/>
      <c r="N4275" s="1603"/>
      <c r="O4275"/>
      <c r="P4275" s="412"/>
      <c r="Q4275" s="391"/>
      <c r="R4275" s="393"/>
      <c r="S4275"/>
    </row>
    <row r="4276" spans="1:19" s="128" customFormat="1" ht="30" customHeight="1" x14ac:dyDescent="0.25">
      <c r="A4276" s="217" t="s">
        <v>539</v>
      </c>
      <c r="B4276" s="218"/>
      <c r="C4276" s="219"/>
      <c r="D4276" s="386" t="s">
        <v>2708</v>
      </c>
      <c r="E4276" s="849"/>
      <c r="F4276" s="849"/>
      <c r="G4276" s="849"/>
      <c r="H4276" s="849"/>
      <c r="I4276" s="849"/>
      <c r="J4276" s="849"/>
      <c r="K4276" s="849"/>
      <c r="L4276" s="850"/>
      <c r="M4276" s="419"/>
      <c r="N4276" s="1603"/>
      <c r="O4276"/>
      <c r="P4276" s="412"/>
      <c r="Q4276" s="391"/>
      <c r="R4276" s="393"/>
    </row>
    <row r="4277" spans="1:19" ht="30" customHeight="1" x14ac:dyDescent="0.25">
      <c r="A4277" s="217" t="s">
        <v>541</v>
      </c>
      <c r="B4277" s="218"/>
      <c r="C4277" s="219"/>
      <c r="D4277" s="386" t="s">
        <v>2709</v>
      </c>
      <c r="E4277" s="849"/>
      <c r="F4277" s="849"/>
      <c r="G4277" s="849"/>
      <c r="H4277" s="849"/>
      <c r="I4277" s="849"/>
      <c r="J4277" s="849"/>
      <c r="K4277" s="849"/>
      <c r="L4277" s="850"/>
      <c r="M4277" s="433"/>
      <c r="N4277" s="1603"/>
      <c r="O4277"/>
      <c r="P4277" s="412"/>
      <c r="Q4277" s="391"/>
      <c r="R4277" s="393"/>
      <c r="S4277" s="128"/>
    </row>
    <row r="4278" spans="1:19" ht="30" customHeight="1" x14ac:dyDescent="0.25">
      <c r="A4278" s="217" t="s">
        <v>543</v>
      </c>
      <c r="B4278" s="218"/>
      <c r="C4278" s="219"/>
      <c r="D4278" s="386" t="s">
        <v>2710</v>
      </c>
      <c r="E4278" s="849"/>
      <c r="F4278" s="849"/>
      <c r="G4278" s="849"/>
      <c r="H4278" s="849"/>
      <c r="I4278" s="849"/>
      <c r="J4278" s="849"/>
      <c r="K4278" s="849"/>
      <c r="L4278" s="850"/>
      <c r="M4278" s="1430"/>
      <c r="N4278" s="1603"/>
      <c r="O4278"/>
      <c r="P4278" s="412"/>
      <c r="Q4278" s="391"/>
      <c r="R4278" s="393"/>
    </row>
    <row r="4279" spans="1:19" ht="30" customHeight="1" x14ac:dyDescent="0.25">
      <c r="A4279" s="217" t="s">
        <v>546</v>
      </c>
      <c r="B4279" s="218"/>
      <c r="C4279" s="219"/>
      <c r="D4279" s="386" t="s">
        <v>2711</v>
      </c>
      <c r="E4279" s="849"/>
      <c r="F4279" s="849"/>
      <c r="G4279" s="849"/>
      <c r="H4279" s="849"/>
      <c r="I4279" s="849"/>
      <c r="J4279" s="849"/>
      <c r="K4279" s="849"/>
      <c r="L4279" s="850"/>
      <c r="M4279" s="1430"/>
      <c r="N4279" s="1603"/>
      <c r="O4279" s="128"/>
      <c r="P4279" s="713"/>
      <c r="Q4279" s="712"/>
      <c r="R4279" s="714"/>
    </row>
    <row r="4280" spans="1:19" ht="30" customHeight="1" x14ac:dyDescent="0.25">
      <c r="A4280" s="217" t="s">
        <v>548</v>
      </c>
      <c r="B4280" s="218"/>
      <c r="C4280" s="219"/>
      <c r="D4280" s="386" t="s">
        <v>2574</v>
      </c>
      <c r="E4280" s="849"/>
      <c r="F4280" s="849"/>
      <c r="G4280" s="849"/>
      <c r="H4280" s="849"/>
      <c r="I4280" s="849"/>
      <c r="J4280" s="849"/>
      <c r="K4280" s="849"/>
      <c r="L4280" s="850"/>
      <c r="M4280" s="419"/>
      <c r="N4280" s="1431"/>
      <c r="O4280"/>
      <c r="P4280" s="412"/>
      <c r="Q4280" s="391"/>
      <c r="R4280" s="393"/>
    </row>
    <row r="4281" spans="1:19" s="49" customFormat="1" ht="30" customHeight="1" x14ac:dyDescent="0.25">
      <c r="A4281" s="217" t="s">
        <v>550</v>
      </c>
      <c r="B4281" s="218"/>
      <c r="C4281" s="219"/>
      <c r="D4281" s="386" t="s">
        <v>2441</v>
      </c>
      <c r="E4281" s="849"/>
      <c r="F4281" s="849"/>
      <c r="G4281" s="849"/>
      <c r="H4281" s="849"/>
      <c r="I4281" s="849"/>
      <c r="J4281" s="849"/>
      <c r="K4281" s="849"/>
      <c r="L4281" s="850"/>
      <c r="M4281" s="425"/>
      <c r="N4281" s="1431"/>
      <c r="P4281" s="412"/>
      <c r="Q4281" s="391"/>
      <c r="R4281" s="393"/>
    </row>
    <row r="4282" spans="1:19" s="128" customFormat="1" ht="30" customHeight="1" x14ac:dyDescent="0.25">
      <c r="A4282" s="217" t="s">
        <v>552</v>
      </c>
      <c r="B4282" s="218"/>
      <c r="C4282" s="219"/>
      <c r="D4282" s="386" t="s">
        <v>2666</v>
      </c>
      <c r="E4282" s="849"/>
      <c r="F4282" s="849"/>
      <c r="G4282" s="849"/>
      <c r="H4282" s="849"/>
      <c r="I4282" s="849"/>
      <c r="J4282" s="849"/>
      <c r="K4282" s="849"/>
      <c r="L4282" s="850"/>
      <c r="M4282" s="419"/>
      <c r="N4282" s="420"/>
      <c r="O4282"/>
      <c r="P4282" s="412"/>
      <c r="Q4282" s="391"/>
      <c r="R4282" s="393"/>
      <c r="S4282"/>
    </row>
    <row r="4283" spans="1:19" s="128" customFormat="1" ht="30" customHeight="1" x14ac:dyDescent="0.25">
      <c r="A4283" s="217" t="s">
        <v>553</v>
      </c>
      <c r="B4283" s="218"/>
      <c r="C4283" s="219"/>
      <c r="D4283" s="386" t="s">
        <v>554</v>
      </c>
      <c r="E4283" s="849"/>
      <c r="F4283" s="849"/>
      <c r="G4283" s="849"/>
      <c r="H4283" s="849"/>
      <c r="I4283" s="849"/>
      <c r="J4283" s="849"/>
      <c r="K4283" s="849"/>
      <c r="L4283" s="850"/>
      <c r="M4283" s="419"/>
      <c r="N4283" s="420"/>
      <c r="O4283"/>
      <c r="P4283" s="412"/>
      <c r="Q4283" s="391"/>
      <c r="R4283" s="393"/>
    </row>
    <row r="4284" spans="1:19" s="128" customFormat="1" ht="34.5" customHeight="1" thickBot="1" x14ac:dyDescent="0.3">
      <c r="A4284" s="1282" t="s">
        <v>556</v>
      </c>
      <c r="B4284" s="1283"/>
      <c r="C4284" s="1284"/>
      <c r="D4284" s="577" t="s">
        <v>2712</v>
      </c>
      <c r="E4284" s="578"/>
      <c r="F4284" s="578"/>
      <c r="G4284" s="578"/>
      <c r="H4284" s="578"/>
      <c r="I4284" s="578"/>
      <c r="J4284" s="578"/>
      <c r="K4284" s="578"/>
      <c r="L4284" s="579"/>
      <c r="M4284" s="419"/>
      <c r="N4284" s="420"/>
      <c r="O4284"/>
      <c r="P4284" s="412"/>
      <c r="Q4284" s="391"/>
      <c r="R4284" s="393"/>
    </row>
    <row r="4285" spans="1:19" ht="30" customHeight="1" thickBot="1" x14ac:dyDescent="0.3">
      <c r="A4285" s="76"/>
      <c r="B4285" s="77"/>
      <c r="C4285" s="77"/>
      <c r="D4285" s="77"/>
      <c r="E4285" s="77"/>
      <c r="F4285" s="77"/>
      <c r="G4285" s="77"/>
      <c r="H4285" s="77"/>
      <c r="I4285" s="77"/>
      <c r="J4285" s="77"/>
      <c r="K4285" s="77"/>
      <c r="L4285" s="78"/>
      <c r="M4285" s="419"/>
      <c r="N4285" s="420"/>
      <c r="O4285" s="43"/>
      <c r="P4285" s="672"/>
      <c r="Q4285" s="671"/>
      <c r="R4285" s="673"/>
    </row>
    <row r="4286" spans="1:19" ht="30" customHeight="1" x14ac:dyDescent="0.25">
      <c r="A4286" s="207" t="s">
        <v>288</v>
      </c>
      <c r="B4286" s="208">
        <v>8422</v>
      </c>
      <c r="C4286" s="282" t="s">
        <v>2713</v>
      </c>
      <c r="D4286" s="283"/>
      <c r="E4286" s="177" t="s">
        <v>291</v>
      </c>
      <c r="F4286" s="178" t="s">
        <v>231</v>
      </c>
      <c r="G4286" s="123" t="s">
        <v>375</v>
      </c>
      <c r="H4286" s="302">
        <v>2738</v>
      </c>
      <c r="I4286" s="177" t="s">
        <v>292</v>
      </c>
      <c r="J4286" s="38" t="s">
        <v>623</v>
      </c>
      <c r="K4286" s="39"/>
      <c r="L4286" s="40"/>
      <c r="M4286" s="419"/>
      <c r="N4286" s="420"/>
      <c r="O4286" s="43"/>
      <c r="P4286" s="672"/>
      <c r="Q4286" s="671"/>
      <c r="R4286" s="673"/>
    </row>
    <row r="4287" spans="1:19" ht="30" customHeight="1" x14ac:dyDescent="0.25">
      <c r="A4287" s="181" t="s">
        <v>517</v>
      </c>
      <c r="B4287" s="180" t="s">
        <v>295</v>
      </c>
      <c r="C4287" s="180"/>
      <c r="D4287" s="180"/>
      <c r="E4287" s="285" t="s">
        <v>2458</v>
      </c>
      <c r="F4287" s="181" t="s">
        <v>2714</v>
      </c>
      <c r="G4287" s="665" t="s">
        <v>562</v>
      </c>
      <c r="H4287" s="666"/>
      <c r="I4287" s="286" t="s">
        <v>520</v>
      </c>
      <c r="J4287" s="287"/>
      <c r="K4287" s="493" t="s">
        <v>521</v>
      </c>
      <c r="L4287" s="494"/>
      <c r="M4287" s="419"/>
      <c r="N4287" s="420"/>
      <c r="O4287"/>
      <c r="P4287" s="412"/>
      <c r="Q4287" s="391"/>
      <c r="R4287" s="393"/>
      <c r="S4287" s="128"/>
    </row>
    <row r="4288" spans="1:19" ht="30" customHeight="1" x14ac:dyDescent="0.25">
      <c r="A4288" s="20">
        <v>84472</v>
      </c>
      <c r="B4288" s="503" t="s">
        <v>2715</v>
      </c>
      <c r="C4288" s="504"/>
      <c r="D4288" s="505"/>
      <c r="E4288" s="405">
        <v>56760</v>
      </c>
      <c r="F4288" s="729">
        <v>1000</v>
      </c>
      <c r="G4288" s="730">
        <v>1440</v>
      </c>
      <c r="H4288" s="649" t="s">
        <v>2716</v>
      </c>
      <c r="I4288" s="1109">
        <f>+'MILCON Inflation Table'!$F$17</f>
        <v>0.9432470865927236</v>
      </c>
      <c r="J4288" s="1110"/>
      <c r="K4288" s="304">
        <f>+E4288/G4288*I4288</f>
        <v>37.179655996529853</v>
      </c>
      <c r="L4288" s="290" t="s">
        <v>231</v>
      </c>
      <c r="M4288" s="425"/>
      <c r="N4288" s="420"/>
      <c r="O4288" s="128"/>
      <c r="P4288" s="713"/>
      <c r="Q4288" s="712"/>
      <c r="R4288" s="714"/>
    </row>
    <row r="4289" spans="1:19" ht="30" customHeight="1" x14ac:dyDescent="0.25">
      <c r="A4289" s="20">
        <v>84472</v>
      </c>
      <c r="B4289" s="503" t="s">
        <v>2717</v>
      </c>
      <c r="C4289" s="504"/>
      <c r="D4289" s="505"/>
      <c r="E4289" s="405">
        <v>74600</v>
      </c>
      <c r="F4289" s="729">
        <v>2000</v>
      </c>
      <c r="G4289" s="730">
        <f>+G4288*2</f>
        <v>2880</v>
      </c>
      <c r="H4289" s="649" t="s">
        <v>2716</v>
      </c>
      <c r="I4289" s="1109">
        <f>+'MILCON Inflation Table'!$F$17</f>
        <v>0.9432470865927236</v>
      </c>
      <c r="J4289" s="1110"/>
      <c r="K4289" s="304">
        <f>+E4289/G4289*I4289</f>
        <v>24.432719673547634</v>
      </c>
      <c r="L4289" s="290" t="s">
        <v>231</v>
      </c>
      <c r="M4289" s="419"/>
      <c r="N4289" s="420"/>
      <c r="O4289" s="128"/>
      <c r="P4289" s="713"/>
      <c r="Q4289" s="712"/>
      <c r="R4289" s="714"/>
    </row>
    <row r="4290" spans="1:19" ht="30" customHeight="1" x14ac:dyDescent="0.25">
      <c r="A4290" s="20">
        <v>84472</v>
      </c>
      <c r="B4290" s="503" t="s">
        <v>2718</v>
      </c>
      <c r="C4290" s="504"/>
      <c r="D4290" s="505"/>
      <c r="E4290" s="405">
        <v>36120</v>
      </c>
      <c r="F4290" s="729">
        <v>1000</v>
      </c>
      <c r="G4290" s="730">
        <v>1440</v>
      </c>
      <c r="H4290" s="649" t="s">
        <v>2716</v>
      </c>
      <c r="I4290" s="1109">
        <f>+'MILCON Inflation Table'!$F$17</f>
        <v>0.9432470865927236</v>
      </c>
      <c r="J4290" s="1110"/>
      <c r="K4290" s="304">
        <f>+E4290/G4290*I4290</f>
        <v>23.659781088700814</v>
      </c>
      <c r="L4290" s="290" t="s">
        <v>231</v>
      </c>
      <c r="M4290" s="419"/>
      <c r="N4290" s="1603"/>
      <c r="O4290"/>
      <c r="P4290" s="412"/>
      <c r="Q4290" s="391"/>
      <c r="R4290" s="393"/>
    </row>
    <row r="4291" spans="1:19" s="49" customFormat="1" ht="30" customHeight="1" x14ac:dyDescent="0.25">
      <c r="A4291" s="20"/>
      <c r="B4291" s="523"/>
      <c r="C4291" s="524"/>
      <c r="D4291" s="407"/>
      <c r="E4291" s="682"/>
      <c r="F4291" s="1124"/>
      <c r="G4291" s="657"/>
      <c r="H4291" s="649"/>
      <c r="I4291" s="1127"/>
      <c r="J4291" s="764" t="s">
        <v>536</v>
      </c>
      <c r="K4291" s="304">
        <f>AVERAGE(K4288:K4290)</f>
        <v>28.424052252926099</v>
      </c>
      <c r="L4291" s="290" t="s">
        <v>231</v>
      </c>
      <c r="M4291" s="419"/>
      <c r="N4291" s="420"/>
      <c r="P4291" s="412"/>
      <c r="Q4291" s="391"/>
      <c r="R4291" s="393"/>
    </row>
    <row r="4292" spans="1:19" ht="30" customHeight="1" thickBot="1" x14ac:dyDescent="0.3">
      <c r="A4292" s="20"/>
      <c r="B4292" s="503"/>
      <c r="C4292" s="504"/>
      <c r="D4292" s="505"/>
      <c r="E4292" s="465"/>
      <c r="F4292" s="763"/>
      <c r="G4292" s="465"/>
      <c r="H4292" s="764"/>
      <c r="I4292" s="18"/>
      <c r="J4292" s="185" t="s">
        <v>358</v>
      </c>
      <c r="K4292" s="305">
        <f>+K4291</f>
        <v>28.424052252926099</v>
      </c>
      <c r="L4292" s="290" t="s">
        <v>231</v>
      </c>
      <c r="M4292" s="670"/>
      <c r="N4292" s="420"/>
      <c r="O4292"/>
      <c r="P4292" s="412"/>
      <c r="Q4292" s="391"/>
      <c r="R4292" s="393"/>
    </row>
    <row r="4293" spans="1:19" ht="30" customHeight="1" thickBot="1" x14ac:dyDescent="0.3">
      <c r="A4293" s="76"/>
      <c r="B4293" s="77"/>
      <c r="C4293" s="77"/>
      <c r="D4293" s="77"/>
      <c r="E4293" s="77"/>
      <c r="F4293" s="77"/>
      <c r="G4293" s="77"/>
      <c r="H4293" s="77"/>
      <c r="I4293" s="77"/>
      <c r="J4293" s="77"/>
      <c r="K4293" s="77"/>
      <c r="L4293" s="78"/>
      <c r="M4293" s="670"/>
      <c r="N4293" s="420"/>
      <c r="O4293"/>
      <c r="P4293" s="412"/>
      <c r="Q4293" s="391"/>
      <c r="R4293" s="393"/>
      <c r="S4293" s="128"/>
    </row>
    <row r="4294" spans="1:19" ht="30" customHeight="1" x14ac:dyDescent="0.25">
      <c r="A4294" s="30" t="s">
        <v>288</v>
      </c>
      <c r="B4294" s="31">
        <v>8431</v>
      </c>
      <c r="C4294" s="484" t="s">
        <v>2719</v>
      </c>
      <c r="D4294" s="485"/>
      <c r="E4294" s="36" t="s">
        <v>291</v>
      </c>
      <c r="F4294" s="37" t="s">
        <v>8</v>
      </c>
      <c r="G4294" s="123" t="s">
        <v>375</v>
      </c>
      <c r="H4294" s="302">
        <v>1045</v>
      </c>
      <c r="I4294" s="36" t="s">
        <v>292</v>
      </c>
      <c r="J4294" s="38" t="s">
        <v>623</v>
      </c>
      <c r="K4294" s="39"/>
      <c r="L4294" s="40"/>
      <c r="M4294" s="419"/>
      <c r="N4294" s="671"/>
      <c r="O4294"/>
      <c r="P4294" s="412"/>
      <c r="Q4294" s="391"/>
      <c r="R4294" s="393"/>
      <c r="S4294" s="128"/>
    </row>
    <row r="4295" spans="1:19" ht="30" customHeight="1" x14ac:dyDescent="0.25">
      <c r="A4295" s="44" t="s">
        <v>517</v>
      </c>
      <c r="B4295" s="45" t="s">
        <v>295</v>
      </c>
      <c r="C4295" s="45"/>
      <c r="D4295" s="45"/>
      <c r="E4295" s="715" t="s">
        <v>2458</v>
      </c>
      <c r="F4295" s="44" t="s">
        <v>2714</v>
      </c>
      <c r="G4295" s="787" t="s">
        <v>562</v>
      </c>
      <c r="H4295" s="788"/>
      <c r="I4295" s="286" t="s">
        <v>520</v>
      </c>
      <c r="J4295" s="287"/>
      <c r="K4295" s="493" t="s">
        <v>521</v>
      </c>
      <c r="L4295" s="494"/>
      <c r="M4295" s="419"/>
      <c r="N4295" s="671"/>
      <c r="O4295"/>
      <c r="P4295" s="412"/>
      <c r="Q4295" s="391"/>
      <c r="R4295" s="393"/>
      <c r="S4295" s="128"/>
    </row>
    <row r="4296" spans="1:19" ht="30" customHeight="1" x14ac:dyDescent="0.25">
      <c r="A4296" s="61">
        <v>84472</v>
      </c>
      <c r="B4296" s="236" t="s">
        <v>2720</v>
      </c>
      <c r="C4296" s="237"/>
      <c r="D4296" s="238"/>
      <c r="E4296" s="405">
        <v>57300</v>
      </c>
      <c r="F4296" s="1246">
        <v>500</v>
      </c>
      <c r="G4296" s="1246">
        <v>500</v>
      </c>
      <c r="H4296" s="1529"/>
      <c r="I4296" s="1109">
        <f>+'MILCON Inflation Table'!$F$17</f>
        <v>0.9432470865927236</v>
      </c>
      <c r="J4296" s="1110"/>
      <c r="K4296" s="267">
        <f>+E4296/F4296*I4296</f>
        <v>108.09611612352612</v>
      </c>
      <c r="L4296" s="65" t="s">
        <v>8</v>
      </c>
      <c r="M4296" s="419"/>
      <c r="N4296" s="420"/>
      <c r="O4296" s="43"/>
      <c r="P4296" s="672"/>
      <c r="Q4296" s="671"/>
      <c r="R4296" s="673"/>
    </row>
    <row r="4297" spans="1:19" ht="30" customHeight="1" x14ac:dyDescent="0.25">
      <c r="A4297" s="61">
        <v>84472</v>
      </c>
      <c r="B4297" s="236" t="s">
        <v>2721</v>
      </c>
      <c r="C4297" s="237"/>
      <c r="D4297" s="238"/>
      <c r="E4297" s="405">
        <v>56760</v>
      </c>
      <c r="F4297" s="1246">
        <v>1000</v>
      </c>
      <c r="G4297" s="1246">
        <v>1000</v>
      </c>
      <c r="H4297" s="1529"/>
      <c r="I4297" s="1109">
        <f>+'MILCON Inflation Table'!$F$17</f>
        <v>0.9432470865927236</v>
      </c>
      <c r="J4297" s="1110"/>
      <c r="K4297" s="267">
        <f>+E4297/F4297*I4297</f>
        <v>53.538704635002993</v>
      </c>
      <c r="L4297" s="65" t="s">
        <v>8</v>
      </c>
      <c r="M4297" s="419"/>
      <c r="N4297" s="420"/>
      <c r="O4297" s="43"/>
      <c r="P4297" s="672"/>
      <c r="Q4297" s="671"/>
      <c r="R4297" s="673"/>
    </row>
    <row r="4298" spans="1:19" ht="30" customHeight="1" x14ac:dyDescent="0.25">
      <c r="A4298" s="61">
        <v>84472</v>
      </c>
      <c r="B4298" s="236" t="s">
        <v>2722</v>
      </c>
      <c r="C4298" s="237"/>
      <c r="D4298" s="238"/>
      <c r="E4298" s="1447">
        <v>74600</v>
      </c>
      <c r="F4298" s="1246">
        <v>2000</v>
      </c>
      <c r="G4298" s="1246">
        <v>2000</v>
      </c>
      <c r="H4298" s="1529"/>
      <c r="I4298" s="1109">
        <f>+'MILCON Inflation Table'!$F$17</f>
        <v>0.9432470865927236</v>
      </c>
      <c r="J4298" s="1110"/>
      <c r="K4298" s="267">
        <f>+E4298/F4298*I4298</f>
        <v>35.183116329908586</v>
      </c>
      <c r="L4298" s="65" t="s">
        <v>8</v>
      </c>
      <c r="M4298" s="425"/>
      <c r="N4298" s="420"/>
      <c r="O4298"/>
      <c r="P4298" s="412"/>
      <c r="Q4298" s="391"/>
      <c r="R4298" s="393"/>
      <c r="S4298" s="128"/>
    </row>
    <row r="4299" spans="1:19" ht="30" customHeight="1" x14ac:dyDescent="0.25">
      <c r="A4299" s="61">
        <v>84472</v>
      </c>
      <c r="B4299" s="236" t="s">
        <v>2723</v>
      </c>
      <c r="C4299" s="237"/>
      <c r="D4299" s="238"/>
      <c r="E4299" s="23">
        <v>36120</v>
      </c>
      <c r="F4299" s="1246">
        <v>1000</v>
      </c>
      <c r="G4299" s="1246">
        <v>1000</v>
      </c>
      <c r="H4299" s="1529"/>
      <c r="I4299" s="1109">
        <f>+'MILCON Inflation Table'!$F$17</f>
        <v>0.9432470865927236</v>
      </c>
      <c r="J4299" s="1110"/>
      <c r="K4299" s="267">
        <f>+E4299/F4299*I4299</f>
        <v>34.070084767729178</v>
      </c>
      <c r="L4299" s="65" t="s">
        <v>8</v>
      </c>
      <c r="M4299" s="419"/>
      <c r="N4299" s="1603"/>
      <c r="O4299"/>
      <c r="P4299" s="412"/>
      <c r="Q4299" s="391"/>
      <c r="R4299" s="393"/>
      <c r="S4299" s="128"/>
    </row>
    <row r="4300" spans="1:19" ht="30" customHeight="1" thickBot="1" x14ac:dyDescent="0.3">
      <c r="A4300" s="61"/>
      <c r="B4300" s="716"/>
      <c r="C4300" s="717"/>
      <c r="D4300" s="718"/>
      <c r="E4300" s="163"/>
      <c r="F4300" s="786"/>
      <c r="G4300" s="163"/>
      <c r="H4300" s="720" t="s">
        <v>536</v>
      </c>
      <c r="I4300" s="63"/>
      <c r="J4300" s="48" t="s">
        <v>358</v>
      </c>
      <c r="K4300" s="222">
        <f>AVERAGE(K4296:K4299)</f>
        <v>57.722005464041722</v>
      </c>
      <c r="L4300" s="65" t="s">
        <v>8</v>
      </c>
      <c r="M4300" s="419"/>
      <c r="N4300" s="1603"/>
      <c r="O4300"/>
      <c r="P4300" s="412"/>
      <c r="Q4300" s="391"/>
      <c r="R4300" s="393"/>
      <c r="S4300" s="128"/>
    </row>
    <row r="4301" spans="1:19" ht="30" customHeight="1" thickBot="1" x14ac:dyDescent="0.3">
      <c r="A4301" s="76"/>
      <c r="B4301" s="77"/>
      <c r="C4301" s="77"/>
      <c r="D4301" s="77"/>
      <c r="E4301" s="77"/>
      <c r="F4301" s="77"/>
      <c r="G4301" s="77"/>
      <c r="H4301" s="77"/>
      <c r="I4301" s="77"/>
      <c r="J4301" s="77"/>
      <c r="K4301" s="77"/>
      <c r="L4301" s="78"/>
      <c r="M4301" s="419"/>
      <c r="N4301" s="420"/>
      <c r="O4301"/>
      <c r="P4301" s="412"/>
      <c r="Q4301" s="391"/>
      <c r="R4301" s="393"/>
      <c r="S4301" s="128"/>
    </row>
    <row r="4302" spans="1:19" ht="30" customHeight="1" x14ac:dyDescent="0.25">
      <c r="A4302" s="30" t="s">
        <v>288</v>
      </c>
      <c r="B4302" s="31">
        <v>8432</v>
      </c>
      <c r="C4302" s="161" t="s">
        <v>2724</v>
      </c>
      <c r="D4302" s="162"/>
      <c r="E4302" s="177" t="s">
        <v>291</v>
      </c>
      <c r="F4302" s="178" t="s">
        <v>7</v>
      </c>
      <c r="G4302" s="123" t="s">
        <v>375</v>
      </c>
      <c r="H4302" s="179">
        <v>6234</v>
      </c>
      <c r="I4302" s="177" t="s">
        <v>292</v>
      </c>
      <c r="J4302" s="38" t="s">
        <v>883</v>
      </c>
      <c r="K4302" s="38"/>
      <c r="L4302" s="389"/>
      <c r="M4302" s="419"/>
      <c r="N4302" s="420"/>
      <c r="O4302"/>
      <c r="P4302" s="412"/>
      <c r="Q4302" s="391"/>
      <c r="R4302" s="393"/>
      <c r="S4302" s="128"/>
    </row>
    <row r="4303" spans="1:19" ht="30" customHeight="1" x14ac:dyDescent="0.25">
      <c r="A4303" s="48" t="s">
        <v>529</v>
      </c>
      <c r="B4303" s="490" t="s">
        <v>560</v>
      </c>
      <c r="C4303" s="491"/>
      <c r="D4303" s="492"/>
      <c r="E4303" s="397" t="s">
        <v>519</v>
      </c>
      <c r="F4303" s="397" t="s">
        <v>561</v>
      </c>
      <c r="G4303" s="398" t="s">
        <v>562</v>
      </c>
      <c r="H4303" s="399"/>
      <c r="I4303" s="181" t="s">
        <v>530</v>
      </c>
      <c r="J4303" s="181"/>
      <c r="K4303" s="493" t="s">
        <v>521</v>
      </c>
      <c r="L4303" s="494"/>
      <c r="M4303" s="670"/>
      <c r="N4303" s="420"/>
      <c r="O4303"/>
      <c r="P4303" s="412"/>
      <c r="Q4303" s="391"/>
      <c r="R4303" s="393"/>
      <c r="S4303" s="128"/>
    </row>
    <row r="4304" spans="1:19" ht="30" customHeight="1" x14ac:dyDescent="0.25">
      <c r="A4304" s="61" t="s">
        <v>574</v>
      </c>
      <c r="B4304" s="236" t="s">
        <v>2706</v>
      </c>
      <c r="C4304" s="237"/>
      <c r="D4304" s="238"/>
      <c r="E4304" s="760">
        <v>25.6</v>
      </c>
      <c r="F4304" s="22" t="s">
        <v>7</v>
      </c>
      <c r="G4304" s="1563"/>
      <c r="H4304" s="758"/>
      <c r="I4304" s="20">
        <v>1.04</v>
      </c>
      <c r="J4304" s="22"/>
      <c r="K4304" s="23">
        <f>+E4304*I4304</f>
        <v>26.624000000000002</v>
      </c>
      <c r="L4304" s="22" t="s">
        <v>7</v>
      </c>
      <c r="M4304" s="670"/>
      <c r="N4304" s="420"/>
      <c r="O4304"/>
      <c r="P4304" s="412"/>
      <c r="Q4304" s="391"/>
      <c r="R4304" s="393"/>
      <c r="S4304" s="128"/>
    </row>
    <row r="4305" spans="1:21" ht="30" customHeight="1" x14ac:dyDescent="0.25">
      <c r="A4305" s="61" t="s">
        <v>574</v>
      </c>
      <c r="B4305" s="236" t="s">
        <v>2725</v>
      </c>
      <c r="C4305" s="237"/>
      <c r="D4305" s="238"/>
      <c r="E4305" s="760">
        <v>41.18</v>
      </c>
      <c r="F4305" s="22" t="s">
        <v>7</v>
      </c>
      <c r="G4305" s="1563"/>
      <c r="H4305" s="758"/>
      <c r="I4305" s="20">
        <v>1.04</v>
      </c>
      <c r="J4305" s="22"/>
      <c r="K4305" s="23">
        <f>+E4305*I4305</f>
        <v>42.827199999999998</v>
      </c>
      <c r="L4305" s="22" t="s">
        <v>7</v>
      </c>
      <c r="M4305" s="419"/>
      <c r="N4305" s="671"/>
      <c r="O4305"/>
      <c r="P4305" s="412"/>
      <c r="Q4305" s="391"/>
      <c r="R4305" s="393"/>
      <c r="S4305" s="128"/>
    </row>
    <row r="4306" spans="1:21" ht="30" customHeight="1" x14ac:dyDescent="0.25">
      <c r="A4306" s="61"/>
      <c r="B4306" s="895"/>
      <c r="C4306" s="896"/>
      <c r="D4306" s="897"/>
      <c r="E4306" s="760"/>
      <c r="F4306" s="22"/>
      <c r="G4306" s="1563"/>
      <c r="H4306" s="758"/>
      <c r="I4306" s="20"/>
      <c r="J4306" s="22" t="s">
        <v>858</v>
      </c>
      <c r="K4306" s="23">
        <f>AVERAGE(K4304:K4305)</f>
        <v>34.7256</v>
      </c>
      <c r="L4306" s="22" t="s">
        <v>7</v>
      </c>
      <c r="N4306" s="671"/>
      <c r="O4306"/>
      <c r="P4306" s="412"/>
      <c r="Q4306" s="391"/>
      <c r="R4306" s="393"/>
      <c r="S4306" s="128"/>
    </row>
    <row r="4307" spans="1:21" ht="30" customHeight="1" x14ac:dyDescent="0.25">
      <c r="A4307" s="61" t="s">
        <v>574</v>
      </c>
      <c r="B4307" s="716" t="s">
        <v>2726</v>
      </c>
      <c r="C4307" s="717"/>
      <c r="D4307" s="718"/>
      <c r="E4307" s="760">
        <v>10.5</v>
      </c>
      <c r="F4307" s="22" t="s">
        <v>7</v>
      </c>
      <c r="G4307" s="1566"/>
      <c r="H4307" s="758"/>
      <c r="I4307" s="20">
        <v>1.04</v>
      </c>
      <c r="J4307" s="22"/>
      <c r="K4307" s="23">
        <f>+E4307*I4307</f>
        <v>10.92</v>
      </c>
      <c r="L4307" s="22" t="s">
        <v>7</v>
      </c>
      <c r="N4307" s="420"/>
      <c r="O4307"/>
      <c r="P4307" s="412"/>
      <c r="Q4307" s="391"/>
      <c r="R4307" s="393"/>
      <c r="S4307" s="128"/>
    </row>
    <row r="4308" spans="1:21" ht="30" customHeight="1" x14ac:dyDescent="0.25">
      <c r="A4308" s="1334"/>
      <c r="B4308" s="62" t="s">
        <v>2727</v>
      </c>
      <c r="C4308" s="62"/>
      <c r="D4308" s="62"/>
      <c r="E4308" s="405"/>
      <c r="F4308" s="20"/>
      <c r="G4308" s="20"/>
      <c r="H4308" s="20"/>
      <c r="I4308" s="20"/>
      <c r="J4308" s="20" t="s">
        <v>578</v>
      </c>
      <c r="K4308" s="405">
        <f>+K4307+K4306</f>
        <v>45.645600000000002</v>
      </c>
      <c r="L4308" s="20" t="s">
        <v>7</v>
      </c>
      <c r="O4308"/>
      <c r="P4308" s="412"/>
      <c r="Q4308" s="391"/>
      <c r="R4308" s="393"/>
      <c r="S4308" s="128"/>
    </row>
    <row r="4309" spans="1:21" ht="30" customHeight="1" x14ac:dyDescent="0.25">
      <c r="A4309" s="61"/>
      <c r="B4309" s="498"/>
      <c r="C4309" s="498"/>
      <c r="D4309" s="498"/>
      <c r="E4309" s="405"/>
      <c r="F4309" s="338" t="s">
        <v>533</v>
      </c>
      <c r="G4309" s="339" t="s">
        <v>534</v>
      </c>
      <c r="H4309" s="339"/>
      <c r="I4309" s="339"/>
      <c r="J4309" s="339"/>
      <c r="K4309" s="340">
        <v>1.07</v>
      </c>
      <c r="L4309" s="10"/>
      <c r="M4309" s="419"/>
      <c r="O4309" s="1499"/>
      <c r="P4309" s="925"/>
      <c r="Q4309" s="925"/>
      <c r="R4309" s="925"/>
      <c r="S4309" s="60"/>
      <c r="T4309" s="60"/>
      <c r="U4309" s="43"/>
    </row>
    <row r="4310" spans="1:21" ht="30" customHeight="1" x14ac:dyDescent="0.25">
      <c r="A4310" s="61"/>
      <c r="B4310" s="498"/>
      <c r="C4310" s="498"/>
      <c r="D4310" s="498"/>
      <c r="E4310" s="405"/>
      <c r="F4310" s="343"/>
      <c r="G4310" s="344" t="s">
        <v>535</v>
      </c>
      <c r="H4310" s="344"/>
      <c r="I4310" s="344"/>
      <c r="J4310" s="344"/>
      <c r="K4310" s="340">
        <v>1.02</v>
      </c>
      <c r="L4310" s="10"/>
      <c r="M4310" s="1493"/>
      <c r="P4310" s="43"/>
      <c r="Q4310" s="43"/>
      <c r="R4310" s="43"/>
      <c r="S4310" s="60"/>
      <c r="T4310" s="60"/>
      <c r="U4310" s="43"/>
    </row>
    <row r="4311" spans="1:21" s="128" customFormat="1" ht="30" customHeight="1" x14ac:dyDescent="0.25">
      <c r="A4311" s="61"/>
      <c r="B4311" s="61"/>
      <c r="C4311" s="63"/>
      <c r="D4311" s="63"/>
      <c r="E4311" s="18"/>
      <c r="F4311" s="18"/>
      <c r="G4311" s="18"/>
      <c r="H4311" s="18"/>
      <c r="I4311" s="18"/>
      <c r="J4311" s="20" t="s">
        <v>358</v>
      </c>
      <c r="K4311" s="23">
        <f>+K4308*K4309/K4310</f>
        <v>47.883129411764713</v>
      </c>
      <c r="L4311" s="20" t="s">
        <v>7</v>
      </c>
      <c r="M4311" s="419"/>
      <c r="N4311" s="420"/>
      <c r="O4311" s="27"/>
      <c r="P4311" s="43"/>
      <c r="Q4311" s="43"/>
      <c r="R4311" s="43"/>
      <c r="S4311" s="60"/>
      <c r="T4311" s="60"/>
      <c r="U4311" s="925"/>
    </row>
    <row r="4312" spans="1:21" s="49" customFormat="1" ht="30" customHeight="1" thickBot="1" x14ac:dyDescent="0.3">
      <c r="A4312" s="61"/>
      <c r="B4312" s="61"/>
      <c r="C4312" s="63"/>
      <c r="D4312" s="63"/>
      <c r="E4312" s="18"/>
      <c r="F4312" s="18"/>
      <c r="G4312" s="413" t="s">
        <v>537</v>
      </c>
      <c r="H4312" s="18"/>
      <c r="I4312" s="18"/>
      <c r="J4312" s="361">
        <f>VLOOKUP(B4302,'Mil Cost Premiums for RUCs'!$A$4:$R$265,18,FALSE)</f>
        <v>1.0905505199999999</v>
      </c>
      <c r="K4312" s="23">
        <f>+K4311*J4312</f>
        <v>52.218971679227295</v>
      </c>
      <c r="L4312" s="20" t="s">
        <v>7</v>
      </c>
      <c r="M4312" s="419"/>
      <c r="N4312" s="1491"/>
      <c r="O4312" s="27"/>
      <c r="U4312" s="50"/>
    </row>
    <row r="4313" spans="1:21" ht="30" customHeight="1" thickBot="1" x14ac:dyDescent="0.3">
      <c r="A4313" s="76"/>
      <c r="B4313" s="77"/>
      <c r="C4313" s="77"/>
      <c r="D4313" s="77"/>
      <c r="E4313" s="77"/>
      <c r="F4313" s="77"/>
      <c r="G4313" s="77"/>
      <c r="H4313" s="77"/>
      <c r="I4313" s="77"/>
      <c r="J4313" s="77"/>
      <c r="K4313" s="77"/>
      <c r="L4313" s="78"/>
      <c r="M4313" s="419"/>
      <c r="N4313" s="420"/>
      <c r="U4313" s="43"/>
    </row>
    <row r="4314" spans="1:21" ht="30" customHeight="1" x14ac:dyDescent="0.25">
      <c r="A4314" s="30" t="s">
        <v>288</v>
      </c>
      <c r="B4314" s="31">
        <v>8434</v>
      </c>
      <c r="C4314" s="484" t="s">
        <v>2728</v>
      </c>
      <c r="D4314" s="485"/>
      <c r="E4314" s="36" t="s">
        <v>291</v>
      </c>
      <c r="F4314" s="37" t="s">
        <v>231</v>
      </c>
      <c r="G4314" s="123" t="s">
        <v>375</v>
      </c>
      <c r="H4314" s="302">
        <v>2601</v>
      </c>
      <c r="I4314" s="36" t="s">
        <v>292</v>
      </c>
      <c r="J4314" s="38" t="s">
        <v>623</v>
      </c>
      <c r="K4314" s="39"/>
      <c r="L4314" s="40"/>
      <c r="M4314" s="419"/>
      <c r="N4314" s="420"/>
      <c r="U4314" s="43"/>
    </row>
    <row r="4315" spans="1:21" ht="30" customHeight="1" x14ac:dyDescent="0.25">
      <c r="A4315" s="44" t="s">
        <v>517</v>
      </c>
      <c r="B4315" s="45" t="s">
        <v>295</v>
      </c>
      <c r="C4315" s="45"/>
      <c r="D4315" s="45"/>
      <c r="E4315" s="715" t="s">
        <v>2458</v>
      </c>
      <c r="F4315" s="44" t="s">
        <v>2714</v>
      </c>
      <c r="G4315" s="787" t="s">
        <v>562</v>
      </c>
      <c r="H4315" s="788"/>
      <c r="I4315" s="286" t="s">
        <v>3387</v>
      </c>
      <c r="J4315" s="287"/>
      <c r="K4315" s="493" t="s">
        <v>521</v>
      </c>
      <c r="L4315" s="494"/>
      <c r="M4315" s="419"/>
      <c r="N4315" s="420"/>
      <c r="P4315" s="43"/>
      <c r="Q4315" s="43"/>
      <c r="R4315" s="43"/>
      <c r="S4315" s="60"/>
      <c r="T4315" s="60"/>
    </row>
    <row r="4316" spans="1:21" ht="30" customHeight="1" x14ac:dyDescent="0.25">
      <c r="A4316" s="61">
        <v>84472</v>
      </c>
      <c r="B4316" s="236" t="s">
        <v>2721</v>
      </c>
      <c r="C4316" s="237"/>
      <c r="D4316" s="238"/>
      <c r="E4316" s="405">
        <v>56760</v>
      </c>
      <c r="F4316" s="1246">
        <v>1000</v>
      </c>
      <c r="G4316" s="1246">
        <v>1000</v>
      </c>
      <c r="H4316" s="1529"/>
      <c r="I4316" s="1109">
        <f>+'MILCON Inflation Table'!$F$17</f>
        <v>0.9432470865927236</v>
      </c>
      <c r="J4316" s="1110"/>
      <c r="K4316" s="267">
        <f>+E4316/F4316*I4316</f>
        <v>53.538704635002993</v>
      </c>
      <c r="L4316" s="65" t="s">
        <v>231</v>
      </c>
      <c r="M4316" s="419"/>
      <c r="N4316" s="420"/>
      <c r="P4316" s="43"/>
      <c r="Q4316" s="43"/>
      <c r="R4316" s="43"/>
      <c r="S4316" s="60"/>
      <c r="T4316" s="60"/>
    </row>
    <row r="4317" spans="1:21" ht="30" customHeight="1" x14ac:dyDescent="0.25">
      <c r="A4317" s="61">
        <v>84472</v>
      </c>
      <c r="B4317" s="236" t="s">
        <v>2722</v>
      </c>
      <c r="C4317" s="237"/>
      <c r="D4317" s="238"/>
      <c r="E4317" s="1447">
        <v>74600</v>
      </c>
      <c r="F4317" s="1246">
        <v>2000</v>
      </c>
      <c r="G4317" s="729">
        <v>2000</v>
      </c>
      <c r="H4317" s="1529"/>
      <c r="I4317" s="1109">
        <f>+'MILCON Inflation Table'!$F$17</f>
        <v>0.9432470865927236</v>
      </c>
      <c r="J4317" s="1110"/>
      <c r="K4317" s="267">
        <f>+E4317/F4317*I4317</f>
        <v>35.183116329908586</v>
      </c>
      <c r="L4317" s="65" t="s">
        <v>231</v>
      </c>
      <c r="M4317" s="1330"/>
      <c r="N4317" s="1117"/>
      <c r="O4317" s="1499"/>
      <c r="P4317" s="925"/>
      <c r="Q4317" s="925"/>
      <c r="R4317" s="925"/>
      <c r="S4317" s="60"/>
      <c r="T4317" s="60"/>
      <c r="U4317" s="43"/>
    </row>
    <row r="4318" spans="1:21" ht="30" customHeight="1" x14ac:dyDescent="0.25">
      <c r="A4318" s="61">
        <v>84472</v>
      </c>
      <c r="B4318" s="236" t="s">
        <v>2723</v>
      </c>
      <c r="C4318" s="237"/>
      <c r="D4318" s="238"/>
      <c r="E4318" s="23">
        <v>36120</v>
      </c>
      <c r="F4318" s="1246">
        <v>1000</v>
      </c>
      <c r="G4318" s="1246">
        <v>1000</v>
      </c>
      <c r="H4318" s="1529"/>
      <c r="I4318" s="1109">
        <f>+'MILCON Inflation Table'!$F$17</f>
        <v>0.9432470865927236</v>
      </c>
      <c r="J4318" s="1110"/>
      <c r="K4318" s="267">
        <f>+E4318/F4318*I4318</f>
        <v>34.070084767729178</v>
      </c>
      <c r="L4318" s="65" t="s">
        <v>231</v>
      </c>
      <c r="N4318" s="420"/>
      <c r="O4318" s="1499"/>
      <c r="P4318" s="925"/>
      <c r="Q4318" s="925"/>
      <c r="R4318" s="925"/>
      <c r="S4318" s="60"/>
      <c r="T4318" s="60"/>
      <c r="U4318" s="43"/>
    </row>
    <row r="4319" spans="1:21" s="128" customFormat="1" ht="30" customHeight="1" thickBot="1" x14ac:dyDescent="0.3">
      <c r="A4319" s="61"/>
      <c r="B4319" s="716"/>
      <c r="C4319" s="717"/>
      <c r="D4319" s="718"/>
      <c r="E4319" s="163"/>
      <c r="F4319" s="786"/>
      <c r="G4319" s="163"/>
      <c r="H4319" s="720" t="s">
        <v>536</v>
      </c>
      <c r="I4319" s="63"/>
      <c r="J4319" s="48" t="s">
        <v>358</v>
      </c>
      <c r="K4319" s="222">
        <f>AVERAGE(K4316:K4318)</f>
        <v>40.93063524421359</v>
      </c>
      <c r="L4319" s="65" t="s">
        <v>231</v>
      </c>
      <c r="M4319" s="502"/>
      <c r="N4319" s="420"/>
      <c r="O4319" s="1499"/>
      <c r="P4319" s="925"/>
      <c r="Q4319" s="925"/>
      <c r="R4319" s="925"/>
      <c r="S4319" s="60"/>
      <c r="T4319" s="60"/>
      <c r="U4319" s="925"/>
    </row>
    <row r="4320" spans="1:21" s="1533" customFormat="1" ht="30" customHeight="1" thickBot="1" x14ac:dyDescent="0.3">
      <c r="A4320" s="76"/>
      <c r="B4320" s="77"/>
      <c r="C4320" s="77"/>
      <c r="D4320" s="77"/>
      <c r="E4320" s="77"/>
      <c r="F4320" s="77"/>
      <c r="G4320" s="77"/>
      <c r="H4320" s="77"/>
      <c r="I4320" s="77"/>
      <c r="J4320" s="77"/>
      <c r="K4320" s="77"/>
      <c r="L4320" s="78"/>
      <c r="M4320" s="556"/>
      <c r="N4320" s="556"/>
      <c r="O4320" s="27"/>
      <c r="P4320" s="50"/>
      <c r="Q4320" s="50"/>
      <c r="R4320" s="50"/>
      <c r="S4320" s="212"/>
      <c r="T4320" s="212"/>
      <c r="U4320" s="1532"/>
    </row>
    <row r="4321" spans="1:21" s="128" customFormat="1" ht="30" customHeight="1" x14ac:dyDescent="0.25">
      <c r="A4321" s="30" t="s">
        <v>288</v>
      </c>
      <c r="B4321" s="31">
        <v>8441</v>
      </c>
      <c r="C4321" s="161" t="s">
        <v>2729</v>
      </c>
      <c r="D4321" s="162"/>
      <c r="E4321" s="36" t="s">
        <v>291</v>
      </c>
      <c r="F4321" s="37" t="s">
        <v>231</v>
      </c>
      <c r="G4321" s="123" t="s">
        <v>375</v>
      </c>
      <c r="H4321" s="179">
        <v>1248</v>
      </c>
      <c r="I4321" s="177" t="s">
        <v>292</v>
      </c>
      <c r="J4321" s="38" t="s">
        <v>883</v>
      </c>
      <c r="K4321" s="38"/>
      <c r="L4321" s="389"/>
      <c r="M4321" s="25"/>
      <c r="N4321" s="502"/>
      <c r="O4321" s="27"/>
      <c r="P4321" s="43"/>
      <c r="Q4321" s="43"/>
      <c r="R4321" s="43"/>
      <c r="S4321" s="60"/>
      <c r="T4321" s="60"/>
      <c r="U4321" s="925"/>
    </row>
    <row r="4322" spans="1:21" ht="30" customHeight="1" x14ac:dyDescent="0.25">
      <c r="A4322" s="48" t="s">
        <v>529</v>
      </c>
      <c r="B4322" s="490" t="s">
        <v>560</v>
      </c>
      <c r="C4322" s="491"/>
      <c r="D4322" s="492"/>
      <c r="E4322" s="793" t="s">
        <v>519</v>
      </c>
      <c r="F4322" s="793" t="s">
        <v>561</v>
      </c>
      <c r="G4322" s="398" t="s">
        <v>562</v>
      </c>
      <c r="H4322" s="399"/>
      <c r="I4322" s="181" t="s">
        <v>530</v>
      </c>
      <c r="J4322" s="44"/>
      <c r="K4322" s="493" t="s">
        <v>521</v>
      </c>
      <c r="L4322" s="494"/>
      <c r="U4322" s="43"/>
    </row>
    <row r="4323" spans="1:21" ht="30" customHeight="1" x14ac:dyDescent="0.25">
      <c r="A4323" s="61" t="s">
        <v>815</v>
      </c>
      <c r="B4323" s="402" t="s">
        <v>2730</v>
      </c>
      <c r="C4323" s="403"/>
      <c r="D4323" s="404"/>
      <c r="E4323" s="760">
        <f>200*52.5</f>
        <v>10500</v>
      </c>
      <c r="F4323" s="22" t="s">
        <v>11</v>
      </c>
      <c r="G4323" s="1563">
        <v>432</v>
      </c>
      <c r="H4323" s="1567" t="s">
        <v>2731</v>
      </c>
      <c r="I4323" s="20">
        <v>1.04</v>
      </c>
      <c r="J4323" s="157"/>
      <c r="K4323" s="21">
        <f>+E4323/G4323*I4323</f>
        <v>25.277777777777779</v>
      </c>
      <c r="L4323" s="157" t="s">
        <v>231</v>
      </c>
      <c r="P4323" s="43"/>
      <c r="Q4323" s="43"/>
      <c r="R4323" s="43"/>
      <c r="S4323" s="60"/>
      <c r="T4323" s="60"/>
    </row>
    <row r="4324" spans="1:21" ht="30" customHeight="1" x14ac:dyDescent="0.25">
      <c r="A4324" s="61" t="s">
        <v>2700</v>
      </c>
      <c r="B4324" s="503" t="s">
        <v>2732</v>
      </c>
      <c r="C4324" s="504"/>
      <c r="D4324" s="505"/>
      <c r="E4324" s="405">
        <v>14000</v>
      </c>
      <c r="F4324" s="22" t="s">
        <v>11</v>
      </c>
      <c r="G4324" s="1563">
        <v>432</v>
      </c>
      <c r="H4324" s="1567" t="s">
        <v>2731</v>
      </c>
      <c r="I4324" s="20">
        <v>1.06</v>
      </c>
      <c r="J4324" s="157"/>
      <c r="K4324" s="21">
        <f>+E4324/G4324*I4324</f>
        <v>34.351851851851848</v>
      </c>
      <c r="L4324" s="157" t="s">
        <v>231</v>
      </c>
      <c r="P4324" s="43"/>
      <c r="Q4324" s="43"/>
      <c r="R4324" s="43"/>
      <c r="S4324" s="60"/>
      <c r="T4324" s="60"/>
    </row>
    <row r="4325" spans="1:21" s="128" customFormat="1" ht="30" customHeight="1" x14ac:dyDescent="0.25">
      <c r="A4325" s="1334"/>
      <c r="B4325" s="971" t="s">
        <v>2733</v>
      </c>
      <c r="C4325" s="971"/>
      <c r="D4325" s="971"/>
      <c r="E4325" s="326"/>
      <c r="F4325" s="20"/>
      <c r="G4325" s="20"/>
      <c r="H4325" s="61"/>
      <c r="I4325" s="61"/>
      <c r="J4325" s="61" t="s">
        <v>578</v>
      </c>
      <c r="K4325" s="530">
        <f>SUM(K4323:K4324)</f>
        <v>59.629629629629626</v>
      </c>
      <c r="L4325" s="61" t="s">
        <v>231</v>
      </c>
      <c r="M4325" s="43"/>
      <c r="N4325" s="25"/>
      <c r="O4325"/>
      <c r="P4325" s="412"/>
      <c r="Q4325" s="391"/>
      <c r="R4325" s="393"/>
      <c r="S4325"/>
    </row>
    <row r="4326" spans="1:21" ht="30" customHeight="1" x14ac:dyDescent="0.25">
      <c r="A4326" s="61"/>
      <c r="B4326" s="498"/>
      <c r="C4326" s="498"/>
      <c r="D4326" s="498"/>
      <c r="E4326" s="530"/>
      <c r="F4326" s="676" t="s">
        <v>533</v>
      </c>
      <c r="G4326" s="339" t="s">
        <v>534</v>
      </c>
      <c r="H4326" s="339"/>
      <c r="I4326" s="339"/>
      <c r="J4326" s="339"/>
      <c r="K4326" s="340">
        <v>1.07</v>
      </c>
      <c r="L4326" s="24"/>
      <c r="O4326"/>
      <c r="P4326" s="412"/>
      <c r="Q4326" s="391"/>
      <c r="R4326" s="393"/>
    </row>
    <row r="4327" spans="1:21" ht="30" customHeight="1" x14ac:dyDescent="0.25">
      <c r="A4327" s="61"/>
      <c r="B4327" s="498"/>
      <c r="C4327" s="498"/>
      <c r="D4327" s="498"/>
      <c r="E4327" s="530"/>
      <c r="F4327" s="678"/>
      <c r="G4327" s="344" t="s">
        <v>535</v>
      </c>
      <c r="H4327" s="344"/>
      <c r="I4327" s="344"/>
      <c r="J4327" s="344"/>
      <c r="K4327" s="340">
        <v>1.02</v>
      </c>
      <c r="L4327" s="24"/>
      <c r="M4327" s="502"/>
      <c r="O4327"/>
      <c r="P4327" s="412"/>
      <c r="Q4327" s="391"/>
      <c r="R4327" s="393"/>
    </row>
    <row r="4328" spans="1:21" s="49" customFormat="1" ht="30" customHeight="1" x14ac:dyDescent="0.25">
      <c r="A4328" s="61"/>
      <c r="B4328" s="61"/>
      <c r="C4328" s="63"/>
      <c r="D4328" s="63"/>
      <c r="E4328" s="63"/>
      <c r="F4328" s="63"/>
      <c r="G4328" s="18"/>
      <c r="H4328" s="18"/>
      <c r="I4328" s="18"/>
      <c r="J4328" s="20" t="s">
        <v>358</v>
      </c>
      <c r="K4328" s="23">
        <f>+K4325*K4326/K4327</f>
        <v>62.55265068990559</v>
      </c>
      <c r="L4328" s="61" t="s">
        <v>231</v>
      </c>
      <c r="M4328" s="556"/>
      <c r="N4328" s="556"/>
      <c r="P4328" s="412"/>
      <c r="Q4328" s="391"/>
      <c r="R4328" s="393"/>
    </row>
    <row r="4329" spans="1:21" ht="30" customHeight="1" thickBot="1" x14ac:dyDescent="0.3">
      <c r="A4329" s="61"/>
      <c r="B4329" s="61"/>
      <c r="C4329" s="63"/>
      <c r="D4329" s="63"/>
      <c r="E4329" s="63"/>
      <c r="F4329" s="63"/>
      <c r="G4329" s="413" t="s">
        <v>537</v>
      </c>
      <c r="H4329" s="18"/>
      <c r="I4329" s="18"/>
      <c r="J4329" s="361">
        <f>VLOOKUP(B4321,'Mil Cost Premiums for RUCs'!$A$4:$R$265,18,FALSE)</f>
        <v>1.0905505199999999</v>
      </c>
      <c r="K4329" s="23">
        <f>+K4328*J4329</f>
        <v>68.216825737254894</v>
      </c>
      <c r="L4329" s="61" t="s">
        <v>231</v>
      </c>
      <c r="M4329" s="556"/>
      <c r="N4329" s="1315"/>
      <c r="O4329"/>
      <c r="P4329" s="412"/>
      <c r="Q4329" s="391"/>
      <c r="R4329" s="393"/>
    </row>
    <row r="4330" spans="1:21" ht="30" customHeight="1" thickBot="1" x14ac:dyDescent="0.3">
      <c r="A4330" s="76"/>
      <c r="B4330" s="77"/>
      <c r="C4330" s="77"/>
      <c r="D4330" s="77"/>
      <c r="E4330" s="77"/>
      <c r="F4330" s="77"/>
      <c r="G4330" s="77"/>
      <c r="H4330" s="77"/>
      <c r="I4330" s="77"/>
      <c r="J4330" s="77"/>
      <c r="K4330" s="77"/>
      <c r="L4330" s="78"/>
      <c r="M4330" s="556"/>
      <c r="N4330" s="556"/>
      <c r="O4330"/>
      <c r="P4330" s="412"/>
      <c r="Q4330" s="391"/>
      <c r="R4330" s="393"/>
    </row>
    <row r="4331" spans="1:21" s="128" customFormat="1" ht="30" customHeight="1" x14ac:dyDescent="0.25">
      <c r="A4331" s="30" t="s">
        <v>288</v>
      </c>
      <c r="B4331" s="208">
        <v>8442</v>
      </c>
      <c r="C4331" s="209" t="s">
        <v>2734</v>
      </c>
      <c r="D4331" s="210"/>
      <c r="E4331" s="177" t="s">
        <v>291</v>
      </c>
      <c r="F4331" s="178" t="s">
        <v>6</v>
      </c>
      <c r="G4331" s="123" t="s">
        <v>375</v>
      </c>
      <c r="H4331" s="1425">
        <v>155242</v>
      </c>
      <c r="I4331" s="177" t="s">
        <v>292</v>
      </c>
      <c r="J4331" s="38" t="s">
        <v>883</v>
      </c>
      <c r="K4331" s="38"/>
      <c r="L4331" s="389"/>
      <c r="M4331" s="25"/>
      <c r="N4331" s="25"/>
      <c r="O4331"/>
      <c r="P4331" s="392"/>
      <c r="Q4331" s="57"/>
      <c r="R4331" s="393"/>
      <c r="S4331"/>
    </row>
    <row r="4332" spans="1:21" s="128" customFormat="1" ht="30" customHeight="1" x14ac:dyDescent="0.25">
      <c r="A4332" s="48" t="s">
        <v>529</v>
      </c>
      <c r="B4332" s="394" t="s">
        <v>560</v>
      </c>
      <c r="C4332" s="395"/>
      <c r="D4332" s="396"/>
      <c r="E4332" s="397" t="s">
        <v>519</v>
      </c>
      <c r="F4332" s="397" t="s">
        <v>561</v>
      </c>
      <c r="G4332" s="398" t="s">
        <v>562</v>
      </c>
      <c r="H4332" s="399"/>
      <c r="I4332" s="181" t="s">
        <v>530</v>
      </c>
      <c r="J4332" s="181"/>
      <c r="K4332" s="493" t="s">
        <v>521</v>
      </c>
      <c r="L4332" s="494"/>
      <c r="M4332" s="25"/>
      <c r="N4332" s="25"/>
      <c r="O4332"/>
      <c r="P4332" s="392"/>
      <c r="Q4332" s="57"/>
      <c r="R4332" s="393"/>
      <c r="S4332"/>
    </row>
    <row r="4333" spans="1:21" s="128" customFormat="1" ht="30" customHeight="1" x14ac:dyDescent="0.25">
      <c r="A4333" s="61" t="s">
        <v>2735</v>
      </c>
      <c r="B4333" s="402" t="s">
        <v>2736</v>
      </c>
      <c r="C4333" s="403"/>
      <c r="D4333" s="404"/>
      <c r="E4333" s="760">
        <v>713000</v>
      </c>
      <c r="F4333" s="22" t="s">
        <v>11</v>
      </c>
      <c r="G4333" s="1563">
        <v>750000</v>
      </c>
      <c r="H4333" s="758" t="s">
        <v>1808</v>
      </c>
      <c r="I4333" s="20">
        <v>1.04</v>
      </c>
      <c r="J4333" s="22"/>
      <c r="K4333" s="23">
        <f>+E4333/G4333*I4333</f>
        <v>0.98869333333333331</v>
      </c>
      <c r="L4333" s="22" t="s">
        <v>6</v>
      </c>
      <c r="M4333" s="43"/>
      <c r="N4333" s="25"/>
      <c r="O4333"/>
      <c r="P4333" s="392"/>
      <c r="Q4333" s="57"/>
      <c r="R4333" s="393"/>
      <c r="S4333"/>
    </row>
    <row r="4334" spans="1:21" ht="30" customHeight="1" x14ac:dyDescent="0.25">
      <c r="A4334" s="61" t="s">
        <v>2735</v>
      </c>
      <c r="B4334" s="503" t="s">
        <v>2737</v>
      </c>
      <c r="C4334" s="504"/>
      <c r="D4334" s="505"/>
      <c r="E4334" s="760">
        <v>825000</v>
      </c>
      <c r="F4334" s="22" t="s">
        <v>11</v>
      </c>
      <c r="G4334" s="1563">
        <v>1000000</v>
      </c>
      <c r="H4334" s="758" t="s">
        <v>1808</v>
      </c>
      <c r="I4334" s="20">
        <v>1.04</v>
      </c>
      <c r="J4334" s="22"/>
      <c r="K4334" s="23">
        <f>+E4334/G4334*I4334</f>
        <v>0.85799999999999998</v>
      </c>
      <c r="L4334" s="22" t="s">
        <v>6</v>
      </c>
      <c r="M4334" s="419"/>
      <c r="O4334" s="43"/>
      <c r="P4334" s="672"/>
      <c r="Q4334" s="671"/>
      <c r="R4334" s="673"/>
    </row>
    <row r="4335" spans="1:21" ht="30" customHeight="1" x14ac:dyDescent="0.25">
      <c r="A4335" s="61" t="s">
        <v>2735</v>
      </c>
      <c r="B4335" s="503" t="s">
        <v>2738</v>
      </c>
      <c r="C4335" s="504"/>
      <c r="D4335" s="505"/>
      <c r="E4335" s="760">
        <v>2975000</v>
      </c>
      <c r="F4335" s="22" t="s">
        <v>11</v>
      </c>
      <c r="G4335" s="1563">
        <v>1000000</v>
      </c>
      <c r="H4335" s="758" t="s">
        <v>1808</v>
      </c>
      <c r="I4335" s="20">
        <v>1.04</v>
      </c>
      <c r="J4335" s="22"/>
      <c r="K4335" s="23">
        <f>+E4335/G4335*I4335</f>
        <v>3.0940000000000003</v>
      </c>
      <c r="L4335" s="22" t="s">
        <v>6</v>
      </c>
      <c r="M4335" s="425"/>
      <c r="O4335" s="43"/>
      <c r="P4335" s="672"/>
      <c r="Q4335" s="671"/>
      <c r="R4335" s="673"/>
    </row>
    <row r="4336" spans="1:21" ht="30" customHeight="1" x14ac:dyDescent="0.25">
      <c r="A4336" s="1334"/>
      <c r="B4336" s="186"/>
      <c r="C4336" s="186"/>
      <c r="D4336" s="186"/>
      <c r="E4336" s="405"/>
      <c r="F4336" s="20"/>
      <c r="G4336" s="20"/>
      <c r="H4336" s="20"/>
      <c r="I4336" s="20"/>
      <c r="J4336" s="20" t="s">
        <v>536</v>
      </c>
      <c r="K4336" s="405">
        <f>AVERAGE(K4333:K4335)</f>
        <v>1.646897777777778</v>
      </c>
      <c r="L4336" s="20" t="s">
        <v>6</v>
      </c>
      <c r="M4336" s="419"/>
      <c r="N4336" s="420"/>
      <c r="O4336"/>
      <c r="P4336" s="392"/>
      <c r="Q4336" s="57"/>
      <c r="R4336" s="393"/>
      <c r="S4336" s="128"/>
    </row>
    <row r="4337" spans="1:21" ht="30" customHeight="1" x14ac:dyDescent="0.25">
      <c r="A4337" s="61"/>
      <c r="B4337" s="410"/>
      <c r="C4337" s="410"/>
      <c r="D4337" s="410"/>
      <c r="E4337" s="405"/>
      <c r="F4337" s="338" t="s">
        <v>533</v>
      </c>
      <c r="G4337" s="339" t="s">
        <v>534</v>
      </c>
      <c r="H4337" s="339"/>
      <c r="I4337" s="339"/>
      <c r="J4337" s="339"/>
      <c r="K4337" s="340">
        <v>1.07</v>
      </c>
      <c r="L4337" s="10"/>
      <c r="M4337" s="419"/>
      <c r="N4337" s="420"/>
      <c r="O4337"/>
      <c r="P4337" s="392"/>
      <c r="Q4337" s="57"/>
      <c r="R4337" s="393"/>
      <c r="S4337" s="128"/>
    </row>
    <row r="4338" spans="1:21" ht="30" customHeight="1" x14ac:dyDescent="0.25">
      <c r="A4338" s="61"/>
      <c r="B4338" s="410"/>
      <c r="C4338" s="410"/>
      <c r="D4338" s="410"/>
      <c r="E4338" s="405"/>
      <c r="F4338" s="343"/>
      <c r="G4338" s="344" t="s">
        <v>535</v>
      </c>
      <c r="H4338" s="344"/>
      <c r="I4338" s="344"/>
      <c r="J4338" s="344"/>
      <c r="K4338" s="340">
        <v>1.02</v>
      </c>
      <c r="L4338" s="10"/>
      <c r="M4338" s="419"/>
      <c r="N4338" s="420"/>
      <c r="O4338"/>
      <c r="P4338" s="392"/>
      <c r="Q4338" s="57"/>
      <c r="R4338" s="393"/>
      <c r="S4338" s="128"/>
    </row>
    <row r="4339" spans="1:21" s="128" customFormat="1" ht="30" customHeight="1" x14ac:dyDescent="0.25">
      <c r="A4339" s="61"/>
      <c r="B4339" s="20"/>
      <c r="C4339" s="18"/>
      <c r="D4339" s="18"/>
      <c r="E4339" s="18"/>
      <c r="F4339" s="18"/>
      <c r="G4339" s="18"/>
      <c r="H4339" s="18"/>
      <c r="I4339" s="18"/>
      <c r="J4339" s="20" t="s">
        <v>358</v>
      </c>
      <c r="K4339" s="23">
        <f>+K4336*K4337/K4338</f>
        <v>1.7276280610021788</v>
      </c>
      <c r="L4339" s="20" t="s">
        <v>6</v>
      </c>
      <c r="M4339" s="419"/>
      <c r="N4339" s="420"/>
      <c r="O4339" s="1499"/>
      <c r="P4339" s="925"/>
      <c r="Q4339" s="925"/>
      <c r="R4339" s="925"/>
      <c r="S4339" s="60"/>
      <c r="T4339" s="60"/>
      <c r="U4339" s="925"/>
    </row>
    <row r="4340" spans="1:21" s="1533" customFormat="1" ht="30" customHeight="1" thickBot="1" x14ac:dyDescent="0.3">
      <c r="A4340" s="61"/>
      <c r="B4340" s="20"/>
      <c r="C4340" s="18"/>
      <c r="D4340" s="18"/>
      <c r="E4340" s="18"/>
      <c r="F4340" s="18"/>
      <c r="G4340" s="413" t="s">
        <v>537</v>
      </c>
      <c r="H4340" s="18"/>
      <c r="I4340" s="18"/>
      <c r="J4340" s="361">
        <f>VLOOKUP(B4331,'Mil Cost Premiums for RUCs'!$A$4:$R$265,18,FALSE)</f>
        <v>1.0905505199999999</v>
      </c>
      <c r="K4340" s="23">
        <f>+K4339*J4340</f>
        <v>1.8840656802925175</v>
      </c>
      <c r="L4340" s="20" t="s">
        <v>6</v>
      </c>
      <c r="M4340" s="419"/>
      <c r="N4340" s="420"/>
      <c r="O4340" s="27"/>
      <c r="P4340" s="50"/>
      <c r="Q4340" s="50"/>
      <c r="R4340" s="50"/>
      <c r="S4340" s="212"/>
      <c r="T4340" s="212"/>
      <c r="U4340" s="1532"/>
    </row>
    <row r="4341" spans="1:21" ht="30" customHeight="1" thickBot="1" x14ac:dyDescent="0.3">
      <c r="A4341" s="76"/>
      <c r="B4341" s="77"/>
      <c r="C4341" s="77"/>
      <c r="D4341" s="77"/>
      <c r="E4341" s="77"/>
      <c r="F4341" s="77"/>
      <c r="G4341" s="77"/>
      <c r="H4341" s="77"/>
      <c r="I4341" s="77"/>
      <c r="J4341" s="77"/>
      <c r="K4341" s="77"/>
      <c r="L4341" s="78"/>
      <c r="M4341" s="670"/>
      <c r="N4341" s="420"/>
      <c r="U4341" s="43"/>
    </row>
    <row r="4342" spans="1:21" ht="30" customHeight="1" x14ac:dyDescent="0.25">
      <c r="A4342" s="30" t="s">
        <v>288</v>
      </c>
      <c r="B4342" s="31">
        <v>8452</v>
      </c>
      <c r="C4342" s="484" t="s">
        <v>2739</v>
      </c>
      <c r="D4342" s="485"/>
      <c r="E4342" s="36" t="s">
        <v>291</v>
      </c>
      <c r="F4342" s="37" t="s">
        <v>231</v>
      </c>
      <c r="G4342" s="123" t="s">
        <v>375</v>
      </c>
      <c r="H4342" s="302">
        <v>2157</v>
      </c>
      <c r="I4342" s="36" t="s">
        <v>292</v>
      </c>
      <c r="J4342" s="38" t="s">
        <v>623</v>
      </c>
      <c r="K4342" s="39"/>
      <c r="L4342" s="40"/>
      <c r="M4342" s="670"/>
      <c r="N4342" s="420"/>
      <c r="P4342" s="43"/>
      <c r="Q4342" s="43"/>
      <c r="R4342" s="43"/>
      <c r="S4342" s="60"/>
      <c r="T4342" s="60"/>
    </row>
    <row r="4343" spans="1:21" ht="30" customHeight="1" x14ac:dyDescent="0.25">
      <c r="A4343" s="44" t="s">
        <v>517</v>
      </c>
      <c r="B4343" s="45" t="s">
        <v>295</v>
      </c>
      <c r="C4343" s="45"/>
      <c r="D4343" s="45"/>
      <c r="E4343" s="715" t="s">
        <v>2458</v>
      </c>
      <c r="F4343" s="44" t="s">
        <v>2714</v>
      </c>
      <c r="G4343" s="787" t="s">
        <v>562</v>
      </c>
      <c r="H4343" s="788"/>
      <c r="I4343" s="286" t="s">
        <v>520</v>
      </c>
      <c r="J4343" s="287"/>
      <c r="K4343" s="493" t="s">
        <v>521</v>
      </c>
      <c r="L4343" s="494"/>
      <c r="M4343" s="419"/>
      <c r="N4343" s="671"/>
      <c r="P4343" s="43"/>
      <c r="Q4343" s="43"/>
      <c r="R4343" s="43"/>
      <c r="S4343" s="60"/>
      <c r="T4343" s="60"/>
    </row>
    <row r="4344" spans="1:21" s="128" customFormat="1" ht="30" customHeight="1" x14ac:dyDescent="0.25">
      <c r="A4344" s="61">
        <v>84472</v>
      </c>
      <c r="B4344" s="236" t="s">
        <v>2721</v>
      </c>
      <c r="C4344" s="237"/>
      <c r="D4344" s="238"/>
      <c r="E4344" s="405">
        <v>56760</v>
      </c>
      <c r="F4344" s="1246">
        <v>1000</v>
      </c>
      <c r="G4344" s="1246">
        <v>1000</v>
      </c>
      <c r="H4344" s="1529"/>
      <c r="I4344" s="1109">
        <f>+'MILCON Inflation Table'!$F$17</f>
        <v>0.9432470865927236</v>
      </c>
      <c r="J4344" s="1110"/>
      <c r="K4344" s="267">
        <f>+E4344/F4344*I4344</f>
        <v>53.538704635002993</v>
      </c>
      <c r="L4344" s="65" t="s">
        <v>231</v>
      </c>
      <c r="M4344" s="556"/>
      <c r="N4344" s="671"/>
      <c r="O4344"/>
      <c r="P4344" s="412"/>
      <c r="Q4344" s="391"/>
      <c r="R4344" s="393"/>
      <c r="S4344"/>
    </row>
    <row r="4345" spans="1:21" ht="30" customHeight="1" x14ac:dyDescent="0.25">
      <c r="A4345" s="61">
        <v>84472</v>
      </c>
      <c r="B4345" s="236" t="s">
        <v>2722</v>
      </c>
      <c r="C4345" s="237"/>
      <c r="D4345" s="238"/>
      <c r="E4345" s="1447">
        <v>74600</v>
      </c>
      <c r="F4345" s="1246">
        <v>2000</v>
      </c>
      <c r="G4345" s="729">
        <v>2000</v>
      </c>
      <c r="H4345" s="1529"/>
      <c r="I4345" s="1109">
        <f>+'MILCON Inflation Table'!$F$17</f>
        <v>0.9432470865927236</v>
      </c>
      <c r="J4345" s="1110"/>
      <c r="K4345" s="267">
        <f>+E4345/F4345*I4345</f>
        <v>35.183116329908586</v>
      </c>
      <c r="L4345" s="65" t="s">
        <v>231</v>
      </c>
      <c r="M4345" s="1330"/>
      <c r="N4345" s="1117"/>
      <c r="O4345"/>
      <c r="P4345" s="412"/>
      <c r="Q4345" s="391"/>
      <c r="R4345" s="393"/>
    </row>
    <row r="4346" spans="1:21" ht="45" customHeight="1" x14ac:dyDescent="0.25">
      <c r="A4346" s="61">
        <v>84472</v>
      </c>
      <c r="B4346" s="236" t="s">
        <v>2723</v>
      </c>
      <c r="C4346" s="237"/>
      <c r="D4346" s="238"/>
      <c r="E4346" s="23">
        <v>36120</v>
      </c>
      <c r="F4346" s="1246">
        <v>1000</v>
      </c>
      <c r="G4346" s="1246">
        <v>1000</v>
      </c>
      <c r="H4346" s="1529"/>
      <c r="I4346" s="1109">
        <f>+'MILCON Inflation Table'!$F$17</f>
        <v>0.9432470865927236</v>
      </c>
      <c r="J4346" s="1110"/>
      <c r="K4346" s="267">
        <f>+E4346/F4346*I4346</f>
        <v>34.070084767729178</v>
      </c>
      <c r="L4346" s="65" t="s">
        <v>231</v>
      </c>
      <c r="M4346" s="419"/>
      <c r="N4346" s="420"/>
      <c r="O4346"/>
      <c r="P4346" s="392"/>
      <c r="Q4346" s="57"/>
      <c r="R4346" s="393"/>
    </row>
    <row r="4347" spans="1:21" s="49" customFormat="1" ht="30" customHeight="1" thickBot="1" x14ac:dyDescent="0.3">
      <c r="A4347" s="61"/>
      <c r="B4347" s="716"/>
      <c r="C4347" s="717"/>
      <c r="D4347" s="718"/>
      <c r="E4347" s="163"/>
      <c r="F4347" s="786"/>
      <c r="G4347" s="163"/>
      <c r="H4347" s="720" t="s">
        <v>536</v>
      </c>
      <c r="I4347" s="63"/>
      <c r="J4347" s="48" t="s">
        <v>358</v>
      </c>
      <c r="K4347" s="222">
        <f>AVERAGE(K4344:K4346)</f>
        <v>40.93063524421359</v>
      </c>
      <c r="L4347" s="65" t="s">
        <v>231</v>
      </c>
      <c r="M4347" s="502"/>
      <c r="N4347" s="420"/>
      <c r="P4347" s="392"/>
      <c r="Q4347" s="57"/>
      <c r="R4347" s="393"/>
    </row>
    <row r="4348" spans="1:21" s="128" customFormat="1" ht="30" customHeight="1" thickBot="1" x14ac:dyDescent="0.3">
      <c r="A4348" s="76"/>
      <c r="B4348" s="77"/>
      <c r="C4348" s="77"/>
      <c r="D4348" s="77"/>
      <c r="E4348" s="77"/>
      <c r="F4348" s="77"/>
      <c r="G4348" s="77"/>
      <c r="H4348" s="77"/>
      <c r="I4348" s="77"/>
      <c r="J4348" s="77"/>
      <c r="K4348" s="77"/>
      <c r="L4348" s="78"/>
      <c r="M4348" s="556"/>
      <c r="N4348" s="420"/>
      <c r="O4348"/>
      <c r="P4348" s="392"/>
      <c r="Q4348" s="57"/>
      <c r="R4348" s="393"/>
      <c r="S4348"/>
    </row>
    <row r="4349" spans="1:21" s="128" customFormat="1" ht="30" customHeight="1" x14ac:dyDescent="0.25">
      <c r="A4349" s="207" t="s">
        <v>288</v>
      </c>
      <c r="B4349" s="208">
        <v>8511</v>
      </c>
      <c r="C4349" s="282" t="s">
        <v>2740</v>
      </c>
      <c r="D4349" s="283"/>
      <c r="E4349" s="177" t="s">
        <v>291</v>
      </c>
      <c r="F4349" s="178" t="s">
        <v>3</v>
      </c>
      <c r="G4349" s="123" t="s">
        <v>375</v>
      </c>
      <c r="H4349" s="302">
        <v>21374</v>
      </c>
      <c r="I4349" s="177" t="s">
        <v>292</v>
      </c>
      <c r="J4349" s="38" t="s">
        <v>623</v>
      </c>
      <c r="K4349" s="39"/>
      <c r="L4349" s="40"/>
      <c r="M4349" s="556"/>
      <c r="N4349" s="420"/>
      <c r="O4349"/>
      <c r="P4349" s="412"/>
      <c r="Q4349" s="391"/>
      <c r="R4349" s="393"/>
    </row>
    <row r="4350" spans="1:21" s="128" customFormat="1" ht="30" customHeight="1" x14ac:dyDescent="0.25">
      <c r="A4350" s="181" t="s">
        <v>517</v>
      </c>
      <c r="B4350" s="180" t="s">
        <v>295</v>
      </c>
      <c r="C4350" s="180"/>
      <c r="D4350" s="180"/>
      <c r="E4350" s="285" t="s">
        <v>519</v>
      </c>
      <c r="F4350" s="181" t="s">
        <v>2</v>
      </c>
      <c r="G4350" s="665" t="s">
        <v>562</v>
      </c>
      <c r="H4350" s="666"/>
      <c r="I4350" s="286" t="s">
        <v>520</v>
      </c>
      <c r="J4350" s="287"/>
      <c r="K4350" s="493" t="s">
        <v>521</v>
      </c>
      <c r="L4350" s="494"/>
      <c r="M4350" s="25"/>
      <c r="N4350" s="556"/>
      <c r="O4350"/>
      <c r="P4350" s="412"/>
      <c r="Q4350" s="391"/>
      <c r="R4350" s="393"/>
    </row>
    <row r="4351" spans="1:21" ht="30" customHeight="1" x14ac:dyDescent="0.25">
      <c r="A4351" s="173"/>
      <c r="B4351" s="476" t="s">
        <v>2741</v>
      </c>
      <c r="C4351" s="477"/>
      <c r="D4351" s="478"/>
      <c r="E4351" s="1568"/>
      <c r="F4351" s="173"/>
      <c r="G4351" s="1568"/>
      <c r="H4351" s="1569"/>
      <c r="I4351" s="1570"/>
      <c r="J4351" s="765"/>
      <c r="K4351" s="207"/>
      <c r="L4351" s="1571"/>
      <c r="M4351" s="1572"/>
      <c r="O4351" s="43"/>
      <c r="P4351" s="672"/>
      <c r="Q4351" s="671"/>
      <c r="R4351" s="673"/>
    </row>
    <row r="4352" spans="1:21" ht="30" customHeight="1" x14ac:dyDescent="0.25">
      <c r="A4352" s="20">
        <v>93210</v>
      </c>
      <c r="B4352" s="1573" t="s">
        <v>2077</v>
      </c>
      <c r="C4352" s="1574"/>
      <c r="D4352" s="1575"/>
      <c r="E4352" s="405">
        <v>2.7</v>
      </c>
      <c r="F4352" s="729" t="s">
        <v>2742</v>
      </c>
      <c r="G4352" s="1576">
        <v>0.33300000000000002</v>
      </c>
      <c r="H4352" s="649" t="s">
        <v>2743</v>
      </c>
      <c r="I4352" s="1109">
        <f>+'MILCON Inflation Table'!$F$17</f>
        <v>0.9432470865927236</v>
      </c>
      <c r="J4352" s="1110"/>
      <c r="K4352" s="304">
        <f>+E4352*G4352*I4352</f>
        <v>0.84807345555551794</v>
      </c>
      <c r="L4352" s="290" t="s">
        <v>3</v>
      </c>
      <c r="M4352" s="43"/>
      <c r="O4352" s="43"/>
      <c r="P4352" s="672"/>
      <c r="Q4352" s="671"/>
      <c r="R4352" s="673"/>
    </row>
    <row r="4353" spans="1:21" ht="30" customHeight="1" x14ac:dyDescent="0.25">
      <c r="A4353" s="20">
        <v>93410</v>
      </c>
      <c r="B4353" s="402" t="s">
        <v>2744</v>
      </c>
      <c r="C4353" s="403"/>
      <c r="D4353" s="404"/>
      <c r="E4353" s="405">
        <v>4.5999999999999996</v>
      </c>
      <c r="F4353" s="729" t="s">
        <v>2745</v>
      </c>
      <c r="G4353" s="1576">
        <v>0.5</v>
      </c>
      <c r="H4353" s="649" t="s">
        <v>2746</v>
      </c>
      <c r="I4353" s="1109">
        <f>+'MILCON Inflation Table'!$F$17</f>
        <v>0.9432470865927236</v>
      </c>
      <c r="J4353" s="1110"/>
      <c r="K4353" s="304">
        <f>+E4353*G4353*I4353</f>
        <v>2.1694682991632641</v>
      </c>
      <c r="L4353" s="290" t="s">
        <v>3</v>
      </c>
      <c r="M4353" s="419"/>
      <c r="O4353"/>
      <c r="P4353" s="412"/>
      <c r="Q4353" s="391"/>
      <c r="R4353" s="393"/>
      <c r="S4353" s="128"/>
    </row>
    <row r="4354" spans="1:21" ht="30" customHeight="1" x14ac:dyDescent="0.25">
      <c r="A4354" s="20">
        <v>85110</v>
      </c>
      <c r="B4354" s="1573" t="s">
        <v>2747</v>
      </c>
      <c r="C4354" s="1574"/>
      <c r="D4354" s="1575"/>
      <c r="E4354" s="405">
        <v>9.5</v>
      </c>
      <c r="F4354" s="729" t="s">
        <v>3</v>
      </c>
      <c r="G4354" s="1453"/>
      <c r="H4354" s="649"/>
      <c r="I4354" s="1109">
        <f>+'MILCON Inflation Table'!$F$17</f>
        <v>0.9432470865927236</v>
      </c>
      <c r="J4354" s="1110"/>
      <c r="K4354" s="304">
        <f>+E4354*I4354</f>
        <v>8.9608473226308742</v>
      </c>
      <c r="L4354" s="290" t="s">
        <v>3</v>
      </c>
      <c r="M4354" s="425"/>
      <c r="O4354"/>
      <c r="P4354" s="412"/>
      <c r="Q4354" s="391"/>
      <c r="R4354" s="393"/>
    </row>
    <row r="4355" spans="1:21" ht="30" customHeight="1" x14ac:dyDescent="0.25">
      <c r="A4355" s="20">
        <v>85110</v>
      </c>
      <c r="B4355" s="402" t="s">
        <v>2748</v>
      </c>
      <c r="C4355" s="403"/>
      <c r="D4355" s="404"/>
      <c r="E4355" s="405">
        <v>2</v>
      </c>
      <c r="F4355" s="729" t="s">
        <v>3</v>
      </c>
      <c r="G4355" s="1124"/>
      <c r="H4355" s="649"/>
      <c r="I4355" s="1109">
        <f>+'MILCON Inflation Table'!$F$17</f>
        <v>0.9432470865927236</v>
      </c>
      <c r="J4355" s="1110"/>
      <c r="K4355" s="304">
        <f>+E4355*I4355</f>
        <v>1.8864941731854472</v>
      </c>
      <c r="L4355" s="290" t="s">
        <v>3</v>
      </c>
      <c r="M4355" s="419"/>
      <c r="N4355" s="420"/>
      <c r="O4355" s="128"/>
      <c r="P4355" s="713"/>
      <c r="Q4355" s="712"/>
      <c r="R4355" s="714"/>
    </row>
    <row r="4356" spans="1:21" ht="30" customHeight="1" x14ac:dyDescent="0.25">
      <c r="A4356" s="20">
        <v>85110</v>
      </c>
      <c r="B4356" s="402" t="s">
        <v>2749</v>
      </c>
      <c r="C4356" s="403"/>
      <c r="D4356" s="404"/>
      <c r="E4356" s="405">
        <v>18.100000000000001</v>
      </c>
      <c r="F4356" s="729" t="s">
        <v>3</v>
      </c>
      <c r="G4356" s="1124"/>
      <c r="H4356" s="649"/>
      <c r="I4356" s="1109">
        <f>+'MILCON Inflation Table'!$F$17</f>
        <v>0.9432470865927236</v>
      </c>
      <c r="J4356" s="1110"/>
      <c r="K4356" s="304">
        <f>+E4356*I4356</f>
        <v>17.072772267328297</v>
      </c>
      <c r="L4356" s="290" t="s">
        <v>3</v>
      </c>
      <c r="M4356" s="419"/>
      <c r="N4356" s="420"/>
      <c r="O4356" s="128"/>
      <c r="P4356" s="713"/>
      <c r="Q4356" s="712"/>
      <c r="R4356" s="714"/>
    </row>
    <row r="4357" spans="1:21" s="49" customFormat="1" ht="30" customHeight="1" x14ac:dyDescent="0.25">
      <c r="A4357" s="20"/>
      <c r="B4357" s="919"/>
      <c r="C4357" s="920"/>
      <c r="D4357" s="750"/>
      <c r="E4357" s="682"/>
      <c r="F4357" s="1124"/>
      <c r="G4357" s="1124"/>
      <c r="H4357" s="649"/>
      <c r="I4357" s="1127"/>
      <c r="J4357" s="1128" t="s">
        <v>2741</v>
      </c>
      <c r="K4357" s="304">
        <f>SUM(K4352:K4356)</f>
        <v>30.937655517863401</v>
      </c>
      <c r="L4357" s="290" t="s">
        <v>3</v>
      </c>
      <c r="M4357" s="419"/>
      <c r="N4357" s="420"/>
      <c r="O4357" s="1533"/>
      <c r="P4357" s="713"/>
      <c r="Q4357" s="712"/>
      <c r="R4357" s="714"/>
    </row>
    <row r="4358" spans="1:21" ht="30" customHeight="1" x14ac:dyDescent="0.25">
      <c r="A4358" s="20"/>
      <c r="B4358" s="476" t="s">
        <v>2750</v>
      </c>
      <c r="C4358" s="477"/>
      <c r="D4358" s="478"/>
      <c r="E4358" s="682"/>
      <c r="F4358" s="1124"/>
      <c r="G4358" s="1124"/>
      <c r="H4358" s="649"/>
      <c r="I4358" s="1127"/>
      <c r="J4358" s="1128"/>
      <c r="K4358" s="304"/>
      <c r="L4358" s="290"/>
      <c r="M4358" s="670"/>
      <c r="N4358" s="420"/>
      <c r="O4358"/>
      <c r="P4358" s="412"/>
      <c r="Q4358" s="391"/>
      <c r="R4358" s="393"/>
    </row>
    <row r="4359" spans="1:21" ht="30" customHeight="1" x14ac:dyDescent="0.25">
      <c r="A4359" s="20">
        <v>93210</v>
      </c>
      <c r="B4359" s="1573" t="s">
        <v>2077</v>
      </c>
      <c r="C4359" s="1574"/>
      <c r="D4359" s="1575"/>
      <c r="E4359" s="405">
        <v>2.7</v>
      </c>
      <c r="F4359" s="729" t="s">
        <v>2742</v>
      </c>
      <c r="G4359" s="1576">
        <v>0.33300000000000002</v>
      </c>
      <c r="H4359" s="649" t="s">
        <v>2743</v>
      </c>
      <c r="I4359" s="1109">
        <f>+'MILCON Inflation Table'!$F$17</f>
        <v>0.9432470865927236</v>
      </c>
      <c r="J4359" s="1110"/>
      <c r="K4359" s="304">
        <f>+E4359*G4359*I4359</f>
        <v>0.84807345555551794</v>
      </c>
      <c r="L4359" s="290" t="s">
        <v>3</v>
      </c>
      <c r="M4359" s="670"/>
      <c r="N4359" s="420"/>
      <c r="O4359"/>
      <c r="P4359" s="412"/>
      <c r="Q4359" s="391"/>
      <c r="R4359" s="393"/>
      <c r="S4359" s="128"/>
    </row>
    <row r="4360" spans="1:21" ht="30" customHeight="1" x14ac:dyDescent="0.25">
      <c r="A4360" s="20">
        <v>93410</v>
      </c>
      <c r="B4360" s="402" t="s">
        <v>2751</v>
      </c>
      <c r="C4360" s="403"/>
      <c r="D4360" s="404"/>
      <c r="E4360" s="405">
        <v>4.5999999999999996</v>
      </c>
      <c r="F4360" s="729" t="s">
        <v>2745</v>
      </c>
      <c r="G4360" s="1576">
        <v>0.33300000000000002</v>
      </c>
      <c r="H4360" s="649" t="s">
        <v>2746</v>
      </c>
      <c r="I4360" s="1109">
        <f>+'MILCON Inflation Table'!$F$17</f>
        <v>0.9432470865927236</v>
      </c>
      <c r="J4360" s="1110"/>
      <c r="K4360" s="304">
        <f>+E4360*G4360*I4360</f>
        <v>1.444865887242734</v>
      </c>
      <c r="L4360" s="290" t="s">
        <v>3</v>
      </c>
      <c r="M4360" s="419"/>
      <c r="N4360" s="671"/>
      <c r="O4360"/>
      <c r="P4360" s="412"/>
      <c r="Q4360" s="391"/>
      <c r="R4360" s="393"/>
      <c r="S4360" s="128"/>
    </row>
    <row r="4361" spans="1:21" ht="30" customHeight="1" x14ac:dyDescent="0.25">
      <c r="A4361" s="20">
        <v>85110</v>
      </c>
      <c r="B4361" s="1573" t="s">
        <v>2752</v>
      </c>
      <c r="C4361" s="1574"/>
      <c r="D4361" s="1575"/>
      <c r="E4361" s="405">
        <v>6.8</v>
      </c>
      <c r="F4361" s="729" t="s">
        <v>3</v>
      </c>
      <c r="G4361" s="1453"/>
      <c r="H4361" s="649"/>
      <c r="I4361" s="1109">
        <f>+'MILCON Inflation Table'!$F$17</f>
        <v>0.9432470865927236</v>
      </c>
      <c r="J4361" s="1110"/>
      <c r="K4361" s="304">
        <f>+E4361*I4361</f>
        <v>6.4140801888305203</v>
      </c>
      <c r="L4361" s="290" t="s">
        <v>3</v>
      </c>
      <c r="M4361" s="419"/>
      <c r="N4361" s="671"/>
      <c r="O4361"/>
      <c r="P4361" s="412"/>
      <c r="Q4361" s="391"/>
      <c r="R4361" s="393"/>
      <c r="S4361" s="128"/>
    </row>
    <row r="4362" spans="1:21" ht="45" customHeight="1" x14ac:dyDescent="0.25">
      <c r="A4362" s="20">
        <v>85110</v>
      </c>
      <c r="B4362" s="476" t="s">
        <v>2753</v>
      </c>
      <c r="C4362" s="477"/>
      <c r="D4362" s="478"/>
      <c r="E4362" s="405">
        <v>47</v>
      </c>
      <c r="F4362" s="729" t="s">
        <v>3</v>
      </c>
      <c r="G4362" s="1124"/>
      <c r="H4362" s="649"/>
      <c r="I4362" s="1109">
        <f>+'MILCON Inflation Table'!$F$17</f>
        <v>0.9432470865927236</v>
      </c>
      <c r="J4362" s="1110"/>
      <c r="K4362" s="304">
        <f>+E4362*I4362</f>
        <v>44.332613069858013</v>
      </c>
      <c r="L4362" s="290" t="s">
        <v>3</v>
      </c>
      <c r="M4362" s="419"/>
      <c r="N4362" s="420"/>
      <c r="O4362" s="43"/>
      <c r="P4362" s="672"/>
      <c r="Q4362" s="671"/>
      <c r="R4362" s="673"/>
    </row>
    <row r="4363" spans="1:21" ht="30" customHeight="1" x14ac:dyDescent="0.25">
      <c r="A4363" s="195" t="s">
        <v>2754</v>
      </c>
      <c r="B4363" s="196"/>
      <c r="C4363" s="196"/>
      <c r="D4363" s="197"/>
      <c r="E4363" s="682"/>
      <c r="F4363" s="1124"/>
      <c r="G4363" s="1124"/>
      <c r="H4363" s="649"/>
      <c r="I4363" s="1127"/>
      <c r="J4363" s="1128" t="s">
        <v>2750</v>
      </c>
      <c r="K4363" s="304">
        <f>SUM(K4359:K4362)</f>
        <v>53.039632601486787</v>
      </c>
      <c r="L4363" s="290" t="s">
        <v>3</v>
      </c>
      <c r="M4363" s="419"/>
      <c r="N4363" s="420"/>
      <c r="O4363" s="43"/>
      <c r="P4363" s="672"/>
      <c r="Q4363" s="671"/>
      <c r="R4363" s="673"/>
    </row>
    <row r="4364" spans="1:21" ht="30" customHeight="1" x14ac:dyDescent="0.25">
      <c r="A4364" s="204"/>
      <c r="B4364" s="205"/>
      <c r="C4364" s="205"/>
      <c r="D4364" s="206"/>
      <c r="E4364" s="682"/>
      <c r="F4364" s="1124"/>
      <c r="G4364" s="1124"/>
      <c r="H4364" s="649"/>
      <c r="I4364" s="1127"/>
      <c r="J4364" s="1577" t="s">
        <v>632</v>
      </c>
      <c r="K4364" s="304">
        <f>+K4357*0.83+K4363*0.17</f>
        <v>34.694991622079378</v>
      </c>
      <c r="L4364" s="290" t="s">
        <v>3</v>
      </c>
      <c r="M4364" s="425"/>
      <c r="N4364" s="420"/>
      <c r="O4364" s="128"/>
      <c r="P4364" s="713"/>
      <c r="Q4364" s="712"/>
      <c r="R4364" s="714"/>
    </row>
    <row r="4365" spans="1:21" ht="30" customHeight="1" x14ac:dyDescent="0.25">
      <c r="A4365" s="20">
        <v>85110</v>
      </c>
      <c r="B4365" s="138" t="s">
        <v>2755</v>
      </c>
      <c r="C4365" s="139"/>
      <c r="D4365" s="140"/>
      <c r="E4365" s="405">
        <v>30.3</v>
      </c>
      <c r="F4365" s="729" t="s">
        <v>7</v>
      </c>
      <c r="G4365" s="1578">
        <v>2.67</v>
      </c>
      <c r="H4365" s="649" t="s">
        <v>2756</v>
      </c>
      <c r="I4365" s="1109">
        <f>+'MILCON Inflation Table'!$F$17</f>
        <v>0.9432470865927236</v>
      </c>
      <c r="J4365" s="1110"/>
      <c r="K4365" s="304">
        <f>+E4365/G4365*I4365</f>
        <v>10.704264690546639</v>
      </c>
      <c r="L4365" s="290" t="s">
        <v>3</v>
      </c>
      <c r="M4365" s="419"/>
      <c r="N4365" s="420"/>
      <c r="O4365" s="1499"/>
      <c r="P4365" s="925"/>
      <c r="Q4365" s="925"/>
      <c r="R4365" s="925"/>
      <c r="S4365" s="60"/>
      <c r="T4365" s="60"/>
      <c r="U4365" s="43"/>
    </row>
    <row r="4366" spans="1:21" ht="30" customHeight="1" x14ac:dyDescent="0.25">
      <c r="A4366" s="20">
        <v>85110</v>
      </c>
      <c r="B4366" s="138" t="s">
        <v>2757</v>
      </c>
      <c r="C4366" s="139"/>
      <c r="D4366" s="140"/>
      <c r="E4366" s="405">
        <v>0.4</v>
      </c>
      <c r="F4366" s="729" t="s">
        <v>7</v>
      </c>
      <c r="G4366" s="1578">
        <v>2.67</v>
      </c>
      <c r="H4366" s="649" t="s">
        <v>2756</v>
      </c>
      <c r="I4366" s="1109">
        <f>+'MILCON Inflation Table'!$F$17</f>
        <v>0.9432470865927236</v>
      </c>
      <c r="J4366" s="1110"/>
      <c r="K4366" s="304">
        <f>+E4366/G4366*I4366</f>
        <v>0.1413104249577114</v>
      </c>
      <c r="L4366" s="290" t="s">
        <v>3</v>
      </c>
      <c r="M4366" s="419"/>
      <c r="N4366" s="1603"/>
      <c r="O4366" s="1499"/>
      <c r="P4366" s="925"/>
      <c r="Q4366" s="925"/>
      <c r="R4366" s="925"/>
      <c r="S4366" s="60"/>
      <c r="T4366" s="60"/>
      <c r="U4366" s="43"/>
    </row>
    <row r="4367" spans="1:21" s="128" customFormat="1" ht="30" customHeight="1" thickBot="1" x14ac:dyDescent="0.3">
      <c r="A4367" s="1579"/>
      <c r="B4367" s="1580"/>
      <c r="C4367" s="1580"/>
      <c r="D4367" s="1581"/>
      <c r="E4367" s="465"/>
      <c r="F4367" s="763"/>
      <c r="G4367" s="465"/>
      <c r="H4367" s="764" t="s">
        <v>578</v>
      </c>
      <c r="I4367" s="18"/>
      <c r="J4367" s="185" t="s">
        <v>358</v>
      </c>
      <c r="K4367" s="305">
        <f>+K4364+K4365+K4366</f>
        <v>45.540566737583724</v>
      </c>
      <c r="L4367" s="290" t="s">
        <v>3</v>
      </c>
      <c r="M4367" s="419"/>
      <c r="N4367" s="1603"/>
      <c r="O4367" s="1499"/>
      <c r="P4367" s="925"/>
      <c r="Q4367" s="925"/>
      <c r="R4367" s="925"/>
      <c r="S4367" s="60"/>
      <c r="T4367" s="60"/>
      <c r="U4367" s="925"/>
    </row>
    <row r="4368" spans="1:21" s="1533" customFormat="1" ht="30" customHeight="1" thickBot="1" x14ac:dyDescent="0.3">
      <c r="A4368" s="76"/>
      <c r="B4368" s="77"/>
      <c r="C4368" s="77"/>
      <c r="D4368" s="77"/>
      <c r="E4368" s="77"/>
      <c r="F4368" s="77"/>
      <c r="G4368" s="77"/>
      <c r="H4368" s="77"/>
      <c r="I4368" s="77"/>
      <c r="J4368" s="77"/>
      <c r="K4368" s="77"/>
      <c r="L4368" s="78"/>
      <c r="M4368" s="419"/>
      <c r="N4368" s="1603"/>
      <c r="O4368" s="27"/>
      <c r="P4368" s="50"/>
      <c r="Q4368" s="50"/>
      <c r="R4368" s="50"/>
      <c r="S4368" s="212"/>
      <c r="T4368" s="212"/>
      <c r="U4368" s="1532"/>
    </row>
    <row r="4369" spans="1:21" ht="30" customHeight="1" x14ac:dyDescent="0.25">
      <c r="A4369" s="207" t="s">
        <v>288</v>
      </c>
      <c r="B4369" s="208">
        <v>8512</v>
      </c>
      <c r="C4369" s="282" t="s">
        <v>2758</v>
      </c>
      <c r="D4369" s="283"/>
      <c r="E4369" s="177" t="s">
        <v>291</v>
      </c>
      <c r="F4369" s="178" t="s">
        <v>3</v>
      </c>
      <c r="G4369" s="123" t="s">
        <v>375</v>
      </c>
      <c r="H4369" s="302">
        <v>54392</v>
      </c>
      <c r="I4369" s="177" t="s">
        <v>292</v>
      </c>
      <c r="J4369" s="38" t="s">
        <v>623</v>
      </c>
      <c r="K4369" s="39"/>
      <c r="L4369" s="40"/>
      <c r="M4369" s="670"/>
      <c r="N4369" s="420"/>
      <c r="U4369" s="43"/>
    </row>
    <row r="4370" spans="1:21" ht="30" customHeight="1" x14ac:dyDescent="0.25">
      <c r="A4370" s="181" t="s">
        <v>517</v>
      </c>
      <c r="B4370" s="180" t="s">
        <v>295</v>
      </c>
      <c r="C4370" s="180"/>
      <c r="D4370" s="180"/>
      <c r="E4370" s="285" t="s">
        <v>519</v>
      </c>
      <c r="F4370" s="181" t="s">
        <v>2</v>
      </c>
      <c r="G4370" s="665" t="s">
        <v>562</v>
      </c>
      <c r="H4370" s="666"/>
      <c r="I4370" s="286" t="s">
        <v>520</v>
      </c>
      <c r="J4370" s="287"/>
      <c r="K4370" s="493" t="s">
        <v>521</v>
      </c>
      <c r="L4370" s="494"/>
      <c r="M4370" s="670"/>
      <c r="N4370" s="420"/>
      <c r="P4370" s="43"/>
      <c r="Q4370" s="43"/>
      <c r="R4370" s="43"/>
      <c r="S4370" s="60"/>
      <c r="T4370" s="60"/>
    </row>
    <row r="4371" spans="1:21" ht="30" customHeight="1" x14ac:dyDescent="0.25">
      <c r="A4371" s="20">
        <v>93210</v>
      </c>
      <c r="B4371" s="1573" t="s">
        <v>2077</v>
      </c>
      <c r="C4371" s="1574"/>
      <c r="D4371" s="1575"/>
      <c r="E4371" s="405">
        <v>2.7</v>
      </c>
      <c r="F4371" s="729" t="s">
        <v>2742</v>
      </c>
      <c r="G4371" s="1576">
        <v>0.33300000000000002</v>
      </c>
      <c r="H4371" s="649" t="s">
        <v>2743</v>
      </c>
      <c r="I4371" s="1109">
        <f>+'MILCON Inflation Table'!$F$17</f>
        <v>0.9432470865927236</v>
      </c>
      <c r="J4371" s="1110"/>
      <c r="K4371" s="304">
        <f>+E4371*G4371*I4371</f>
        <v>0.84807345555551794</v>
      </c>
      <c r="L4371" s="290" t="s">
        <v>3</v>
      </c>
      <c r="M4371" s="419"/>
      <c r="N4371" s="671"/>
      <c r="P4371" s="43"/>
      <c r="Q4371" s="43"/>
      <c r="R4371" s="43"/>
      <c r="S4371" s="60"/>
      <c r="T4371" s="60"/>
    </row>
    <row r="4372" spans="1:21" s="128" customFormat="1" ht="30" customHeight="1" x14ac:dyDescent="0.25">
      <c r="A4372" s="20">
        <v>93210</v>
      </c>
      <c r="B4372" s="1573" t="s">
        <v>2759</v>
      </c>
      <c r="C4372" s="1574"/>
      <c r="D4372" s="1575"/>
      <c r="E4372" s="405">
        <v>2.2999999999999998</v>
      </c>
      <c r="F4372" s="729" t="s">
        <v>3</v>
      </c>
      <c r="G4372" s="729"/>
      <c r="H4372" s="649"/>
      <c r="I4372" s="1109">
        <f>+'MILCON Inflation Table'!$F$17</f>
        <v>0.9432470865927236</v>
      </c>
      <c r="J4372" s="1110"/>
      <c r="K4372" s="304">
        <f>+E4372*I4372</f>
        <v>2.1694682991632641</v>
      </c>
      <c r="L4372" s="290" t="s">
        <v>3</v>
      </c>
      <c r="M4372" s="419"/>
      <c r="N4372" s="671"/>
      <c r="O4372"/>
      <c r="P4372" s="412"/>
      <c r="Q4372" s="391"/>
      <c r="R4372" s="393"/>
      <c r="S4372"/>
    </row>
    <row r="4373" spans="1:21" ht="30" customHeight="1" x14ac:dyDescent="0.25">
      <c r="A4373" s="20">
        <v>85110</v>
      </c>
      <c r="B4373" s="1573" t="s">
        <v>2747</v>
      </c>
      <c r="C4373" s="1574"/>
      <c r="D4373" s="1575"/>
      <c r="E4373" s="405">
        <v>9.5</v>
      </c>
      <c r="F4373" s="729" t="s">
        <v>3</v>
      </c>
      <c r="G4373" s="729"/>
      <c r="H4373" s="649"/>
      <c r="I4373" s="1109">
        <f>+'MILCON Inflation Table'!$F$17</f>
        <v>0.9432470865927236</v>
      </c>
      <c r="J4373" s="1110"/>
      <c r="K4373" s="304">
        <f>+E4373*I4373</f>
        <v>8.9608473226308742</v>
      </c>
      <c r="L4373" s="290" t="s">
        <v>3</v>
      </c>
      <c r="M4373" s="419"/>
      <c r="N4373" s="420"/>
      <c r="O4373"/>
      <c r="P4373" s="412"/>
      <c r="Q4373" s="391"/>
      <c r="R4373" s="393"/>
    </row>
    <row r="4374" spans="1:21" ht="30" customHeight="1" thickBot="1" x14ac:dyDescent="0.3">
      <c r="A4374" s="20"/>
      <c r="B4374" s="402" t="s">
        <v>2760</v>
      </c>
      <c r="C4374" s="403"/>
      <c r="D4374" s="404"/>
      <c r="E4374" s="465"/>
      <c r="F4374" s="763"/>
      <c r="G4374" s="465"/>
      <c r="H4374" s="764" t="s">
        <v>578</v>
      </c>
      <c r="I4374" s="18"/>
      <c r="J4374" s="185" t="s">
        <v>358</v>
      </c>
      <c r="K4374" s="305">
        <f>SUM(K4371:K4373)</f>
        <v>11.978389077349657</v>
      </c>
      <c r="L4374" s="290" t="s">
        <v>3</v>
      </c>
      <c r="N4374" s="420"/>
      <c r="O4374" s="1499"/>
      <c r="P4374" s="925"/>
      <c r="Q4374" s="925"/>
      <c r="R4374" s="925"/>
      <c r="S4374" s="60"/>
      <c r="T4374" s="60"/>
      <c r="U4374" s="43"/>
    </row>
    <row r="4375" spans="1:21" s="1533" customFormat="1" ht="30" customHeight="1" thickBot="1" x14ac:dyDescent="0.3">
      <c r="A4375" s="76"/>
      <c r="B4375" s="77"/>
      <c r="C4375" s="77"/>
      <c r="D4375" s="77"/>
      <c r="E4375" s="77"/>
      <c r="F4375" s="77"/>
      <c r="G4375" s="77"/>
      <c r="H4375" s="77"/>
      <c r="I4375" s="77"/>
      <c r="J4375" s="77"/>
      <c r="K4375" s="77"/>
      <c r="L4375" s="78"/>
      <c r="M4375" s="502"/>
      <c r="N4375" s="1603"/>
      <c r="O4375" s="1499"/>
      <c r="P4375" s="1532"/>
      <c r="Q4375" s="1532"/>
      <c r="R4375" s="1532"/>
      <c r="S4375" s="212"/>
      <c r="T4375" s="212"/>
      <c r="U4375" s="1532"/>
    </row>
    <row r="4376" spans="1:21" s="128" customFormat="1" ht="30" customHeight="1" x14ac:dyDescent="0.25">
      <c r="A4376" s="417" t="s">
        <v>288</v>
      </c>
      <c r="B4376" s="418">
        <v>8513</v>
      </c>
      <c r="C4376" s="691" t="s">
        <v>2761</v>
      </c>
      <c r="D4376" s="692"/>
      <c r="E4376" s="540" t="s">
        <v>291</v>
      </c>
      <c r="F4376" s="541" t="s">
        <v>3</v>
      </c>
      <c r="G4376" s="123" t="s">
        <v>375</v>
      </c>
      <c r="H4376" s="600">
        <v>217</v>
      </c>
      <c r="I4376" s="540" t="s">
        <v>292</v>
      </c>
      <c r="J4376" s="38" t="s">
        <v>883</v>
      </c>
      <c r="K4376" s="38"/>
      <c r="L4376" s="389"/>
      <c r="M4376" s="556"/>
      <c r="N4376" s="556"/>
      <c r="O4376" s="1499"/>
      <c r="P4376" s="925"/>
      <c r="Q4376" s="925"/>
      <c r="R4376" s="925"/>
      <c r="S4376" s="60"/>
      <c r="T4376" s="60"/>
      <c r="U4376" s="925"/>
    </row>
    <row r="4377" spans="1:21" s="128" customFormat="1" ht="30" customHeight="1" x14ac:dyDescent="0.25">
      <c r="A4377" s="414" t="s">
        <v>529</v>
      </c>
      <c r="B4377" s="1377" t="s">
        <v>560</v>
      </c>
      <c r="C4377" s="1582"/>
      <c r="D4377" s="1378"/>
      <c r="E4377" s="1583" t="s">
        <v>519</v>
      </c>
      <c r="F4377" s="1583" t="s">
        <v>561</v>
      </c>
      <c r="G4377" s="1584" t="s">
        <v>562</v>
      </c>
      <c r="H4377" s="1585"/>
      <c r="I4377" s="1586" t="s">
        <v>530</v>
      </c>
      <c r="J4377" s="1586"/>
      <c r="K4377" s="1587" t="s">
        <v>521</v>
      </c>
      <c r="L4377" s="1588"/>
      <c r="M4377" s="556"/>
      <c r="N4377" s="1315"/>
      <c r="O4377" s="27"/>
      <c r="P4377"/>
      <c r="Q4377"/>
      <c r="R4377"/>
      <c r="S4377"/>
      <c r="T4377"/>
      <c r="U4377" s="925"/>
    </row>
    <row r="4378" spans="1:21" s="128" customFormat="1" ht="30" customHeight="1" x14ac:dyDescent="0.25">
      <c r="A4378" s="333" t="s">
        <v>773</v>
      </c>
      <c r="B4378" s="1033" t="s">
        <v>2762</v>
      </c>
      <c r="C4378" s="1034"/>
      <c r="D4378" s="1035"/>
      <c r="E4378" s="1589">
        <f>+(68+232)/2</f>
        <v>150</v>
      </c>
      <c r="F4378" s="1590" t="s">
        <v>9</v>
      </c>
      <c r="G4378" s="1591">
        <v>9</v>
      </c>
      <c r="H4378" s="1592" t="s">
        <v>828</v>
      </c>
      <c r="I4378" s="333">
        <v>1.04</v>
      </c>
      <c r="J4378" s="1590"/>
      <c r="K4378" s="1593">
        <f>+E4378*G4378*I4378</f>
        <v>1404</v>
      </c>
      <c r="L4378" s="1590" t="s">
        <v>3</v>
      </c>
      <c r="M4378" s="25"/>
      <c r="N4378" s="556"/>
      <c r="O4378" s="27"/>
      <c r="P4378"/>
      <c r="Q4378"/>
      <c r="R4378"/>
      <c r="S4378"/>
      <c r="T4378"/>
      <c r="U4378" s="925"/>
    </row>
    <row r="4379" spans="1:21" s="128" customFormat="1" ht="30" customHeight="1" x14ac:dyDescent="0.25">
      <c r="A4379" s="20"/>
      <c r="B4379" s="410"/>
      <c r="C4379" s="410"/>
      <c r="D4379" s="410"/>
      <c r="E4379" s="405"/>
      <c r="F4379" s="338" t="s">
        <v>533</v>
      </c>
      <c r="G4379" s="339" t="s">
        <v>534</v>
      </c>
      <c r="H4379" s="339"/>
      <c r="I4379" s="339"/>
      <c r="J4379" s="339"/>
      <c r="K4379" s="340">
        <v>1.07</v>
      </c>
      <c r="L4379" s="10"/>
      <c r="M4379" s="25"/>
      <c r="N4379" s="25"/>
      <c r="O4379" s="27"/>
      <c r="P4379"/>
      <c r="Q4379"/>
      <c r="R4379"/>
      <c r="S4379"/>
      <c r="T4379"/>
      <c r="U4379" s="925"/>
    </row>
    <row r="4380" spans="1:21" s="128" customFormat="1" ht="30" customHeight="1" x14ac:dyDescent="0.25">
      <c r="A4380" s="20"/>
      <c r="B4380" s="410"/>
      <c r="C4380" s="410"/>
      <c r="D4380" s="410"/>
      <c r="E4380" s="405"/>
      <c r="F4380" s="343"/>
      <c r="G4380" s="344" t="s">
        <v>535</v>
      </c>
      <c r="H4380" s="344"/>
      <c r="I4380" s="344"/>
      <c r="J4380" s="344"/>
      <c r="K4380" s="340">
        <v>1.02</v>
      </c>
      <c r="L4380" s="10"/>
      <c r="M4380" s="43"/>
      <c r="N4380" s="25"/>
      <c r="O4380" s="27"/>
      <c r="P4380"/>
      <c r="Q4380"/>
      <c r="R4380"/>
      <c r="S4380"/>
      <c r="T4380"/>
      <c r="U4380" s="925"/>
    </row>
    <row r="4381" spans="1:21" s="128" customFormat="1" ht="30" customHeight="1" x14ac:dyDescent="0.25">
      <c r="A4381" s="10"/>
      <c r="B4381" s="10"/>
      <c r="C4381" s="13"/>
      <c r="D4381" s="13"/>
      <c r="E4381" s="13"/>
      <c r="F4381" s="13"/>
      <c r="G4381" s="13"/>
      <c r="H4381" s="13"/>
      <c r="I4381" s="13"/>
      <c r="J4381" s="10" t="s">
        <v>358</v>
      </c>
      <c r="K4381" s="14">
        <f>+K4378*K4379/K4380</f>
        <v>1472.8235294117649</v>
      </c>
      <c r="L4381" s="10" t="s">
        <v>3</v>
      </c>
      <c r="M4381" s="419"/>
      <c r="N4381" s="25"/>
      <c r="O4381" s="1499"/>
      <c r="P4381" s="925"/>
      <c r="Q4381" s="925"/>
      <c r="R4381" s="925"/>
      <c r="S4381" s="60"/>
      <c r="T4381" s="60"/>
      <c r="U4381" s="925"/>
    </row>
    <row r="4382" spans="1:21" s="128" customFormat="1" ht="30" customHeight="1" x14ac:dyDescent="0.25">
      <c r="A4382" s="10"/>
      <c r="B4382" s="10"/>
      <c r="C4382" s="13"/>
      <c r="D4382" s="13"/>
      <c r="E4382" s="13"/>
      <c r="F4382" s="13"/>
      <c r="G4382" s="556"/>
      <c r="H4382" s="13"/>
      <c r="I4382" s="969" t="s">
        <v>652</v>
      </c>
      <c r="J4382" s="361">
        <f>VLOOKUP(B4376,'Mil Cost Premiums for RUCs'!$A$4:$R$265,18,FALSE)</f>
        <v>1.1199953840399997</v>
      </c>
      <c r="K4382" s="14">
        <f>+K4381*J4382</f>
        <v>1649.5555544466772</v>
      </c>
      <c r="L4382" s="10" t="s">
        <v>3</v>
      </c>
      <c r="M4382" s="425"/>
      <c r="N4382" s="25"/>
      <c r="O4382" s="1499"/>
      <c r="P4382" s="925"/>
      <c r="Q4382" s="925"/>
      <c r="R4382" s="925"/>
      <c r="S4382" s="60"/>
      <c r="T4382" s="60"/>
      <c r="U4382" s="925"/>
    </row>
    <row r="4383" spans="1:21" s="128" customFormat="1" ht="75" customHeight="1" x14ac:dyDescent="0.25">
      <c r="A4383" s="577" t="s">
        <v>538</v>
      </c>
      <c r="B4383" s="578"/>
      <c r="C4383" s="578"/>
      <c r="D4383" s="578"/>
      <c r="E4383" s="578"/>
      <c r="F4383" s="578"/>
      <c r="G4383" s="578"/>
      <c r="H4383" s="578"/>
      <c r="I4383" s="578"/>
      <c r="J4383" s="578"/>
      <c r="K4383" s="578"/>
      <c r="L4383" s="579"/>
      <c r="M4383" s="25"/>
      <c r="N4383" s="420"/>
      <c r="O4383" s="27"/>
      <c r="P4383"/>
      <c r="Q4383"/>
      <c r="R4383"/>
      <c r="S4383"/>
      <c r="T4383"/>
      <c r="U4383" s="925"/>
    </row>
    <row r="4384" spans="1:21" s="128" customFormat="1" ht="30" customHeight="1" x14ac:dyDescent="0.25">
      <c r="A4384" s="217" t="s">
        <v>539</v>
      </c>
      <c r="B4384" s="218"/>
      <c r="C4384" s="219"/>
      <c r="D4384" s="386" t="s">
        <v>2763</v>
      </c>
      <c r="E4384" s="849"/>
      <c r="F4384" s="849"/>
      <c r="G4384" s="849"/>
      <c r="H4384" s="849"/>
      <c r="I4384" s="849"/>
      <c r="J4384" s="849"/>
      <c r="K4384" s="849"/>
      <c r="L4384" s="850"/>
      <c r="M4384" s="556"/>
      <c r="N4384" s="420"/>
      <c r="O4384" s="27"/>
      <c r="P4384"/>
      <c r="Q4384"/>
      <c r="R4384"/>
      <c r="S4384"/>
      <c r="T4384"/>
      <c r="U4384" s="925"/>
    </row>
    <row r="4385" spans="1:21" s="128" customFormat="1" ht="30" customHeight="1" x14ac:dyDescent="0.25">
      <c r="A4385" s="217" t="s">
        <v>541</v>
      </c>
      <c r="B4385" s="218"/>
      <c r="C4385" s="219"/>
      <c r="D4385" s="386" t="s">
        <v>2764</v>
      </c>
      <c r="E4385" s="849"/>
      <c r="F4385" s="849"/>
      <c r="G4385" s="849"/>
      <c r="H4385" s="849"/>
      <c r="I4385" s="849"/>
      <c r="J4385" s="849"/>
      <c r="K4385" s="849"/>
      <c r="L4385" s="850"/>
      <c r="M4385" s="556"/>
      <c r="N4385" s="556"/>
      <c r="O4385" s="27"/>
      <c r="P4385"/>
      <c r="Q4385"/>
      <c r="R4385"/>
      <c r="S4385"/>
      <c r="T4385"/>
      <c r="U4385" s="925"/>
    </row>
    <row r="4386" spans="1:21" s="128" customFormat="1" ht="30" customHeight="1" x14ac:dyDescent="0.25">
      <c r="A4386" s="217" t="s">
        <v>543</v>
      </c>
      <c r="B4386" s="218"/>
      <c r="C4386" s="219"/>
      <c r="D4386" s="386" t="s">
        <v>2765</v>
      </c>
      <c r="E4386" s="849"/>
      <c r="F4386" s="849"/>
      <c r="G4386" s="849"/>
      <c r="H4386" s="849"/>
      <c r="I4386" s="849"/>
      <c r="J4386" s="849"/>
      <c r="K4386" s="849"/>
      <c r="L4386" s="850"/>
      <c r="M4386" s="556"/>
      <c r="N4386" s="556"/>
      <c r="O4386" s="27"/>
      <c r="P4386"/>
      <c r="Q4386"/>
      <c r="R4386"/>
      <c r="S4386"/>
      <c r="T4386"/>
      <c r="U4386" s="925"/>
    </row>
    <row r="4387" spans="1:21" s="128" customFormat="1" ht="30" customHeight="1" x14ac:dyDescent="0.25">
      <c r="A4387" s="217" t="s">
        <v>546</v>
      </c>
      <c r="B4387" s="218"/>
      <c r="C4387" s="219"/>
      <c r="D4387" s="386" t="s">
        <v>2766</v>
      </c>
      <c r="E4387" s="849"/>
      <c r="F4387" s="849"/>
      <c r="G4387" s="849"/>
      <c r="H4387" s="849"/>
      <c r="I4387" s="849"/>
      <c r="J4387" s="849"/>
      <c r="K4387" s="849"/>
      <c r="L4387" s="850"/>
      <c r="M4387" s="556"/>
      <c r="N4387" s="556"/>
      <c r="O4387" s="27"/>
      <c r="P4387"/>
      <c r="Q4387"/>
      <c r="R4387"/>
      <c r="S4387"/>
      <c r="T4387"/>
      <c r="U4387" s="925"/>
    </row>
    <row r="4388" spans="1:21" s="128" customFormat="1" ht="30" customHeight="1" x14ac:dyDescent="0.25">
      <c r="A4388" s="217" t="s">
        <v>548</v>
      </c>
      <c r="B4388" s="218"/>
      <c r="C4388" s="219"/>
      <c r="D4388" s="386" t="s">
        <v>2767</v>
      </c>
      <c r="E4388" s="849"/>
      <c r="F4388" s="849"/>
      <c r="G4388" s="849"/>
      <c r="H4388" s="849"/>
      <c r="I4388" s="849"/>
      <c r="J4388" s="849"/>
      <c r="K4388" s="849"/>
      <c r="L4388" s="850"/>
      <c r="M4388" s="556"/>
      <c r="N4388" s="25"/>
      <c r="O4388" s="27"/>
      <c r="P4388"/>
      <c r="Q4388"/>
      <c r="R4388"/>
      <c r="S4388"/>
      <c r="T4388"/>
      <c r="U4388" s="925"/>
    </row>
    <row r="4389" spans="1:21" ht="30" customHeight="1" x14ac:dyDescent="0.25">
      <c r="A4389" s="217" t="s">
        <v>550</v>
      </c>
      <c r="B4389" s="218"/>
      <c r="C4389" s="219"/>
      <c r="D4389" s="386" t="s">
        <v>2441</v>
      </c>
      <c r="E4389" s="849"/>
      <c r="F4389" s="849"/>
      <c r="G4389" s="849"/>
      <c r="H4389" s="849"/>
      <c r="I4389" s="849"/>
      <c r="J4389" s="849"/>
      <c r="K4389" s="849"/>
      <c r="L4389" s="850"/>
      <c r="M4389" s="1572"/>
      <c r="P4389" s="43"/>
      <c r="Q4389" s="43"/>
      <c r="R4389" s="43"/>
      <c r="S4389" s="60"/>
      <c r="T4389" s="60"/>
    </row>
    <row r="4390" spans="1:21" ht="30" customHeight="1" x14ac:dyDescent="0.25">
      <c r="A4390" s="217" t="s">
        <v>552</v>
      </c>
      <c r="B4390" s="218"/>
      <c r="C4390" s="219"/>
      <c r="D4390" s="386" t="s">
        <v>2692</v>
      </c>
      <c r="E4390" s="849"/>
      <c r="F4390" s="849"/>
      <c r="G4390" s="849"/>
      <c r="H4390" s="849"/>
      <c r="I4390" s="849"/>
      <c r="J4390" s="849"/>
      <c r="K4390" s="849"/>
      <c r="L4390" s="850"/>
      <c r="M4390" s="556"/>
      <c r="P4390" s="43"/>
      <c r="Q4390" s="43"/>
      <c r="R4390" s="43"/>
      <c r="S4390" s="60"/>
      <c r="T4390" s="60"/>
    </row>
    <row r="4391" spans="1:21" ht="30" customHeight="1" x14ac:dyDescent="0.25">
      <c r="A4391" s="217" t="s">
        <v>553</v>
      </c>
      <c r="B4391" s="218"/>
      <c r="C4391" s="219"/>
      <c r="D4391" s="386" t="s">
        <v>554</v>
      </c>
      <c r="E4391" s="849"/>
      <c r="F4391" s="849"/>
      <c r="G4391" s="849"/>
      <c r="H4391" s="849"/>
      <c r="I4391" s="849"/>
      <c r="J4391" s="849"/>
      <c r="K4391" s="849"/>
      <c r="L4391" s="850"/>
      <c r="M4391" s="556"/>
      <c r="O4391" s="1499"/>
      <c r="P4391" s="925"/>
      <c r="Q4391" s="925"/>
      <c r="R4391" s="925"/>
      <c r="S4391" s="60"/>
      <c r="T4391" s="60"/>
      <c r="U4391" s="43"/>
    </row>
    <row r="4392" spans="1:21" ht="45" customHeight="1" thickBot="1" x14ac:dyDescent="0.3">
      <c r="A4392" s="1282" t="s">
        <v>556</v>
      </c>
      <c r="B4392" s="1283"/>
      <c r="C4392" s="1284"/>
      <c r="D4392" s="386" t="s">
        <v>2768</v>
      </c>
      <c r="E4392" s="849"/>
      <c r="F4392" s="849"/>
      <c r="G4392" s="849"/>
      <c r="H4392" s="849"/>
      <c r="I4392" s="849"/>
      <c r="J4392" s="849"/>
      <c r="K4392" s="849"/>
      <c r="L4392" s="850"/>
      <c r="M4392" s="556"/>
      <c r="N4392" s="556"/>
      <c r="O4392" s="1499"/>
      <c r="P4392" s="925"/>
      <c r="Q4392" s="925"/>
      <c r="R4392" s="925"/>
      <c r="S4392" s="60"/>
      <c r="T4392" s="60"/>
      <c r="U4392" s="43"/>
    </row>
    <row r="4393" spans="1:21" ht="30" customHeight="1" thickBot="1" x14ac:dyDescent="0.3">
      <c r="A4393" s="76"/>
      <c r="B4393" s="77"/>
      <c r="C4393" s="77"/>
      <c r="D4393" s="77"/>
      <c r="E4393" s="77"/>
      <c r="F4393" s="77"/>
      <c r="G4393" s="77"/>
      <c r="H4393" s="77"/>
      <c r="I4393" s="77"/>
      <c r="J4393" s="77"/>
      <c r="K4393" s="77"/>
      <c r="L4393" s="78"/>
      <c r="M4393" s="556"/>
      <c r="N4393" s="556"/>
      <c r="O4393" s="1499"/>
      <c r="P4393" s="925"/>
      <c r="Q4393" s="925"/>
      <c r="R4393" s="925"/>
      <c r="S4393" s="60"/>
      <c r="T4393" s="60"/>
      <c r="U4393" s="43"/>
    </row>
    <row r="4394" spans="1:21" s="128" customFormat="1" ht="30" customHeight="1" x14ac:dyDescent="0.25">
      <c r="A4394" s="30" t="s">
        <v>288</v>
      </c>
      <c r="B4394" s="31">
        <v>8514</v>
      </c>
      <c r="C4394" s="161" t="s">
        <v>2769</v>
      </c>
      <c r="D4394" s="162"/>
      <c r="E4394" s="177" t="s">
        <v>291</v>
      </c>
      <c r="F4394" s="178" t="s">
        <v>7</v>
      </c>
      <c r="G4394" s="123" t="s">
        <v>375</v>
      </c>
      <c r="H4394" s="179">
        <v>926</v>
      </c>
      <c r="I4394" s="177" t="s">
        <v>292</v>
      </c>
      <c r="J4394" s="38" t="s">
        <v>883</v>
      </c>
      <c r="K4394" s="38"/>
      <c r="L4394" s="389"/>
      <c r="M4394" s="556"/>
      <c r="N4394" s="25"/>
      <c r="O4394" s="1499"/>
      <c r="P4394" s="925"/>
      <c r="Q4394" s="925"/>
      <c r="R4394" s="925"/>
      <c r="S4394" s="60"/>
      <c r="T4394" s="60"/>
      <c r="U4394" s="925"/>
    </row>
    <row r="4395" spans="1:21" s="1533" customFormat="1" ht="30" customHeight="1" x14ac:dyDescent="0.25">
      <c r="A4395" s="48" t="s">
        <v>529</v>
      </c>
      <c r="B4395" s="1594" t="s">
        <v>560</v>
      </c>
      <c r="C4395" s="1594"/>
      <c r="D4395" s="1594"/>
      <c r="E4395" s="397" t="s">
        <v>519</v>
      </c>
      <c r="F4395" s="397" t="s">
        <v>561</v>
      </c>
      <c r="G4395" s="398" t="s">
        <v>562</v>
      </c>
      <c r="H4395" s="399"/>
      <c r="I4395" s="181" t="s">
        <v>530</v>
      </c>
      <c r="J4395" s="181"/>
      <c r="K4395" s="493" t="s">
        <v>521</v>
      </c>
      <c r="L4395" s="494"/>
      <c r="M4395" s="556"/>
      <c r="N4395" s="25"/>
      <c r="O4395" s="27"/>
      <c r="P4395" s="49"/>
      <c r="Q4395" s="49"/>
      <c r="R4395" s="49"/>
      <c r="S4395" s="49"/>
      <c r="T4395" s="49"/>
      <c r="U4395" s="1532"/>
    </row>
    <row r="4396" spans="1:21" s="128" customFormat="1" ht="30" customHeight="1" x14ac:dyDescent="0.25">
      <c r="A4396" s="63"/>
      <c r="B4396" s="192" t="s">
        <v>2770</v>
      </c>
      <c r="C4396" s="192"/>
      <c r="D4396" s="192"/>
      <c r="E4396" s="760"/>
      <c r="F4396" s="22"/>
      <c r="G4396" s="1563"/>
      <c r="H4396" s="758"/>
      <c r="I4396" s="20"/>
      <c r="J4396" s="22"/>
      <c r="K4396" s="23"/>
      <c r="L4396" s="22"/>
      <c r="M4396" s="556"/>
      <c r="N4396" s="25"/>
      <c r="O4396" s="27"/>
      <c r="P4396"/>
      <c r="Q4396"/>
      <c r="R4396"/>
      <c r="S4396"/>
      <c r="T4396"/>
      <c r="U4396" s="925"/>
    </row>
    <row r="4397" spans="1:21" ht="30" customHeight="1" x14ac:dyDescent="0.25">
      <c r="A4397" s="61" t="s">
        <v>2241</v>
      </c>
      <c r="B4397" s="192" t="s">
        <v>2771</v>
      </c>
      <c r="C4397" s="192"/>
      <c r="D4397" s="192"/>
      <c r="E4397" s="760">
        <v>510</v>
      </c>
      <c r="F4397" s="22" t="s">
        <v>9</v>
      </c>
      <c r="G4397" s="1563">
        <v>30</v>
      </c>
      <c r="H4397" s="758" t="s">
        <v>2772</v>
      </c>
      <c r="I4397" s="20">
        <v>1.06</v>
      </c>
      <c r="J4397" s="22"/>
      <c r="K4397" s="23">
        <f>+E4397*G4397*I4397</f>
        <v>16218</v>
      </c>
      <c r="L4397" s="22" t="s">
        <v>7</v>
      </c>
      <c r="M4397" s="556"/>
      <c r="P4397" s="43"/>
      <c r="Q4397" s="43"/>
      <c r="R4397" s="43"/>
      <c r="S4397" s="60"/>
      <c r="T4397" s="60"/>
    </row>
    <row r="4398" spans="1:21" ht="30" customHeight="1" x14ac:dyDescent="0.25">
      <c r="A4398" s="61"/>
      <c r="B4398" s="498"/>
      <c r="C4398" s="498"/>
      <c r="D4398" s="498"/>
      <c r="E4398" s="405"/>
      <c r="F4398" s="338" t="s">
        <v>533</v>
      </c>
      <c r="G4398" s="339" t="s">
        <v>534</v>
      </c>
      <c r="H4398" s="339"/>
      <c r="I4398" s="339"/>
      <c r="J4398" s="339"/>
      <c r="K4398" s="340">
        <v>1.07</v>
      </c>
      <c r="L4398" s="10"/>
      <c r="P4398" s="43"/>
      <c r="Q4398" s="43"/>
      <c r="R4398" s="43"/>
      <c r="S4398" s="60"/>
      <c r="T4398" s="60"/>
    </row>
    <row r="4399" spans="1:21" ht="30" customHeight="1" x14ac:dyDescent="0.25">
      <c r="A4399" s="61"/>
      <c r="B4399" s="498"/>
      <c r="C4399" s="498"/>
      <c r="D4399" s="498"/>
      <c r="E4399" s="405"/>
      <c r="F4399" s="343"/>
      <c r="G4399" s="344" t="s">
        <v>535</v>
      </c>
      <c r="H4399" s="344"/>
      <c r="I4399" s="344"/>
      <c r="J4399" s="344"/>
      <c r="K4399" s="340">
        <v>1.02</v>
      </c>
      <c r="L4399" s="10"/>
      <c r="O4399"/>
      <c r="P4399" s="412"/>
      <c r="Q4399" s="391"/>
      <c r="R4399" s="393"/>
    </row>
    <row r="4400" spans="1:21" ht="30" customHeight="1" x14ac:dyDescent="0.25">
      <c r="A4400" s="61"/>
      <c r="B4400" s="61"/>
      <c r="C4400" s="63"/>
      <c r="D4400" s="63"/>
      <c r="E4400" s="18"/>
      <c r="F4400" s="18"/>
      <c r="G4400" s="18"/>
      <c r="H4400" s="18"/>
      <c r="I4400" s="18"/>
      <c r="J4400" s="20" t="s">
        <v>358</v>
      </c>
      <c r="K4400" s="23">
        <f>+K4397*K4398/K4399</f>
        <v>17013</v>
      </c>
      <c r="L4400" s="20" t="s">
        <v>7</v>
      </c>
      <c r="M4400" s="43"/>
      <c r="O4400"/>
      <c r="P4400" s="412"/>
      <c r="Q4400" s="391"/>
      <c r="R4400" s="393"/>
    </row>
    <row r="4401" spans="1:19" ht="30" customHeight="1" thickBot="1" x14ac:dyDescent="0.3">
      <c r="A4401" s="61"/>
      <c r="B4401" s="61"/>
      <c r="C4401" s="63"/>
      <c r="D4401" s="63"/>
      <c r="E4401" s="18"/>
      <c r="F4401" s="18"/>
      <c r="G4401" s="413" t="s">
        <v>537</v>
      </c>
      <c r="H4401" s="18"/>
      <c r="I4401" s="18"/>
      <c r="J4401" s="361">
        <f>VLOOKUP(B4394,'Mil Cost Premiums for RUCs'!$A$4:$R$265,18,FALSE)</f>
        <v>1.1199953840399997</v>
      </c>
      <c r="K4401" s="23">
        <f>+K4400*J4401</f>
        <v>19054.481468672515</v>
      </c>
      <c r="L4401" s="20" t="s">
        <v>7</v>
      </c>
      <c r="O4401"/>
      <c r="P4401" s="412"/>
      <c r="Q4401" s="391"/>
      <c r="R4401" s="393"/>
    </row>
    <row r="4402" spans="1:19" s="128" customFormat="1" ht="30" customHeight="1" thickBot="1" x14ac:dyDescent="0.3">
      <c r="A4402" s="76"/>
      <c r="B4402" s="77"/>
      <c r="C4402" s="77"/>
      <c r="D4402" s="77"/>
      <c r="E4402" s="77"/>
      <c r="F4402" s="77"/>
      <c r="G4402" s="77"/>
      <c r="H4402" s="77"/>
      <c r="I4402" s="77"/>
      <c r="J4402" s="77"/>
      <c r="K4402" s="77"/>
      <c r="L4402" s="78"/>
      <c r="M4402" s="502"/>
      <c r="N4402" s="25"/>
      <c r="O4402"/>
      <c r="P4402" s="412"/>
      <c r="Q4402" s="391"/>
      <c r="R4402" s="393"/>
      <c r="S4402"/>
    </row>
    <row r="4403" spans="1:19" s="128" customFormat="1" ht="30" customHeight="1" x14ac:dyDescent="0.25">
      <c r="A4403" s="306" t="s">
        <v>288</v>
      </c>
      <c r="B4403" s="307">
        <v>8521</v>
      </c>
      <c r="C4403" s="1513" t="s">
        <v>2773</v>
      </c>
      <c r="D4403" s="1514"/>
      <c r="E4403" s="540" t="s">
        <v>291</v>
      </c>
      <c r="F4403" s="541" t="s">
        <v>3</v>
      </c>
      <c r="G4403" s="123" t="s">
        <v>375</v>
      </c>
      <c r="H4403" s="600">
        <v>10683</v>
      </c>
      <c r="I4403" s="540" t="s">
        <v>292</v>
      </c>
      <c r="J4403" s="747" t="s">
        <v>641</v>
      </c>
      <c r="K4403" s="747"/>
      <c r="L4403" s="748"/>
      <c r="M4403" s="556"/>
      <c r="N4403" s="556"/>
      <c r="O4403"/>
      <c r="P4403" s="412"/>
      <c r="Q4403" s="391"/>
      <c r="R4403" s="393"/>
      <c r="S4403"/>
    </row>
    <row r="4404" spans="1:19" ht="30" customHeight="1" x14ac:dyDescent="0.25">
      <c r="A4404" s="695" t="s">
        <v>529</v>
      </c>
      <c r="B4404" s="883" t="s">
        <v>560</v>
      </c>
      <c r="C4404" s="884"/>
      <c r="D4404" s="885"/>
      <c r="E4404" s="546" t="s">
        <v>519</v>
      </c>
      <c r="F4404" s="546" t="s">
        <v>561</v>
      </c>
      <c r="G4404" s="547" t="s">
        <v>562</v>
      </c>
      <c r="H4404" s="548"/>
      <c r="I4404" s="424" t="s">
        <v>530</v>
      </c>
      <c r="J4404" s="424"/>
      <c r="K4404" s="493" t="s">
        <v>521</v>
      </c>
      <c r="L4404" s="494"/>
      <c r="M4404" s="556"/>
      <c r="N4404" s="1315"/>
      <c r="O4404" s="43"/>
      <c r="P4404" s="672"/>
      <c r="Q4404" s="671"/>
      <c r="R4404" s="673"/>
    </row>
    <row r="4405" spans="1:19" ht="30" customHeight="1" x14ac:dyDescent="0.25">
      <c r="A4405" s="24" t="s">
        <v>773</v>
      </c>
      <c r="B4405" s="63" t="s">
        <v>2774</v>
      </c>
      <c r="C4405" s="524"/>
      <c r="D4405" s="407"/>
      <c r="E4405" s="756">
        <v>81.5</v>
      </c>
      <c r="F4405" s="1595" t="s">
        <v>2775</v>
      </c>
      <c r="G4405" s="697">
        <v>35</v>
      </c>
      <c r="H4405" s="1596" t="s">
        <v>2776</v>
      </c>
      <c r="I4405" s="10">
        <v>1.04</v>
      </c>
      <c r="J4405" s="10"/>
      <c r="K4405" s="699">
        <f>+E4405/G4405*I4405</f>
        <v>2.4217142857142862</v>
      </c>
      <c r="L4405" s="5" t="s">
        <v>3</v>
      </c>
      <c r="M4405" s="556"/>
      <c r="N4405" s="556"/>
      <c r="O4405" s="43"/>
      <c r="P4405" s="672"/>
      <c r="Q4405" s="671"/>
      <c r="R4405" s="673"/>
    </row>
    <row r="4406" spans="1:19" s="128" customFormat="1" ht="30" customHeight="1" x14ac:dyDescent="0.25">
      <c r="A4406" s="24" t="s">
        <v>773</v>
      </c>
      <c r="B4406" s="716" t="s">
        <v>2777</v>
      </c>
      <c r="C4406" s="717"/>
      <c r="D4406" s="718"/>
      <c r="E4406" s="760">
        <v>165</v>
      </c>
      <c r="F4406" s="1595" t="s">
        <v>2775</v>
      </c>
      <c r="G4406" s="697">
        <v>35</v>
      </c>
      <c r="H4406" s="1596" t="s">
        <v>2776</v>
      </c>
      <c r="I4406" s="10">
        <v>1.04</v>
      </c>
      <c r="J4406" s="10"/>
      <c r="K4406" s="699">
        <f>+E4406/G4406*I4406</f>
        <v>4.902857142857143</v>
      </c>
      <c r="L4406" s="5" t="s">
        <v>3</v>
      </c>
      <c r="M4406" s="25"/>
      <c r="N4406" s="25"/>
      <c r="O4406"/>
      <c r="P4406" s="412"/>
      <c r="Q4406" s="391"/>
      <c r="R4406" s="393"/>
      <c r="S4406"/>
    </row>
    <row r="4407" spans="1:19" s="128" customFormat="1" ht="30" customHeight="1" x14ac:dyDescent="0.25">
      <c r="A4407" s="24" t="s">
        <v>773</v>
      </c>
      <c r="B4407" s="64" t="s">
        <v>2778</v>
      </c>
      <c r="C4407" s="570"/>
      <c r="D4407" s="571"/>
      <c r="E4407" s="700">
        <v>715</v>
      </c>
      <c r="F4407" s="1595" t="s">
        <v>2775</v>
      </c>
      <c r="G4407" s="697">
        <v>35</v>
      </c>
      <c r="H4407" s="1596" t="s">
        <v>2776</v>
      </c>
      <c r="I4407" s="10">
        <v>1.04</v>
      </c>
      <c r="J4407" s="10"/>
      <c r="K4407" s="699">
        <f>+E4407/G4407*I4407</f>
        <v>21.245714285714286</v>
      </c>
      <c r="L4407" s="5" t="s">
        <v>3</v>
      </c>
      <c r="M4407" s="43"/>
      <c r="N4407" s="25"/>
      <c r="O4407"/>
      <c r="P4407" s="412"/>
      <c r="Q4407" s="391"/>
      <c r="R4407" s="393"/>
      <c r="S4407"/>
    </row>
    <row r="4408" spans="1:19" s="128" customFormat="1" ht="30" customHeight="1" x14ac:dyDescent="0.25">
      <c r="A4408" s="24" t="s">
        <v>773</v>
      </c>
      <c r="B4408" s="64" t="s">
        <v>2779</v>
      </c>
      <c r="C4408" s="570"/>
      <c r="D4408" s="571"/>
      <c r="E4408" s="700">
        <v>19.75</v>
      </c>
      <c r="F4408" s="1595" t="s">
        <v>2775</v>
      </c>
      <c r="G4408" s="697">
        <v>35</v>
      </c>
      <c r="H4408" s="1596" t="s">
        <v>2776</v>
      </c>
      <c r="I4408" s="10">
        <v>1.04</v>
      </c>
      <c r="J4408" s="10"/>
      <c r="K4408" s="699">
        <f>+E4408/G4408*I4408</f>
        <v>0.58685714285714285</v>
      </c>
      <c r="L4408" s="5" t="s">
        <v>3</v>
      </c>
      <c r="M4408" s="419"/>
      <c r="N4408" s="25"/>
      <c r="O4408"/>
      <c r="P4408" s="412"/>
      <c r="Q4408" s="391"/>
      <c r="R4408" s="393"/>
      <c r="S4408"/>
    </row>
    <row r="4409" spans="1:19" s="128" customFormat="1" ht="30" customHeight="1" x14ac:dyDescent="0.25">
      <c r="A4409" s="24" t="s">
        <v>773</v>
      </c>
      <c r="B4409" s="63" t="s">
        <v>2780</v>
      </c>
      <c r="C4409" s="989"/>
      <c r="D4409" s="990"/>
      <c r="E4409" s="700">
        <v>180</v>
      </c>
      <c r="F4409" s="1595" t="s">
        <v>2775</v>
      </c>
      <c r="G4409" s="697">
        <v>35</v>
      </c>
      <c r="H4409" s="1596" t="s">
        <v>2776</v>
      </c>
      <c r="I4409" s="10">
        <v>1.04</v>
      </c>
      <c r="J4409" s="10"/>
      <c r="K4409" s="699">
        <f>+E4409/G4409*I4409</f>
        <v>5.3485714285714288</v>
      </c>
      <c r="L4409" s="5" t="s">
        <v>3</v>
      </c>
      <c r="M4409" s="419"/>
      <c r="N4409" s="25"/>
      <c r="O4409"/>
      <c r="P4409" s="412"/>
      <c r="Q4409" s="391"/>
      <c r="R4409" s="393"/>
      <c r="S4409"/>
    </row>
    <row r="4410" spans="1:19" s="128" customFormat="1" ht="30" customHeight="1" x14ac:dyDescent="0.25">
      <c r="A4410" s="64"/>
      <c r="B4410" s="551" t="s">
        <v>2781</v>
      </c>
      <c r="C4410" s="551"/>
      <c r="D4410" s="551"/>
      <c r="E4410" s="326"/>
      <c r="F4410" s="10"/>
      <c r="G4410" s="10"/>
      <c r="H4410" s="10"/>
      <c r="I4410" s="10"/>
      <c r="J4410" s="10" t="s">
        <v>578</v>
      </c>
      <c r="K4410" s="706">
        <f>SUM(K4405:K4409)</f>
        <v>34.505714285714291</v>
      </c>
      <c r="L4410" s="10" t="s">
        <v>3</v>
      </c>
      <c r="M4410" s="419"/>
      <c r="N4410" s="420"/>
      <c r="O4410"/>
      <c r="P4410" s="412"/>
      <c r="Q4410" s="391"/>
      <c r="R4410" s="393"/>
      <c r="S4410"/>
    </row>
    <row r="4411" spans="1:19" s="128" customFormat="1" ht="30" customHeight="1" x14ac:dyDescent="0.25">
      <c r="A4411" s="61"/>
      <c r="B4411" s="498"/>
      <c r="C4411" s="498"/>
      <c r="D4411" s="498"/>
      <c r="E4411" s="405"/>
      <c r="F4411" s="338" t="s">
        <v>533</v>
      </c>
      <c r="G4411" s="339" t="s">
        <v>534</v>
      </c>
      <c r="H4411" s="339"/>
      <c r="I4411" s="339"/>
      <c r="J4411" s="339"/>
      <c r="K4411" s="340">
        <v>1.07</v>
      </c>
      <c r="L4411" s="10"/>
      <c r="M4411" s="670"/>
      <c r="N4411" s="420"/>
      <c r="O4411"/>
      <c r="P4411" s="412"/>
      <c r="Q4411" s="391"/>
      <c r="R4411" s="393"/>
      <c r="S4411"/>
    </row>
    <row r="4412" spans="1:19" s="128" customFormat="1" ht="30" customHeight="1" x14ac:dyDescent="0.25">
      <c r="A4412" s="61"/>
      <c r="B4412" s="498"/>
      <c r="C4412" s="498"/>
      <c r="D4412" s="498"/>
      <c r="E4412" s="405"/>
      <c r="F4412" s="343"/>
      <c r="G4412" s="344" t="s">
        <v>535</v>
      </c>
      <c r="H4412" s="344"/>
      <c r="I4412" s="344"/>
      <c r="J4412" s="344"/>
      <c r="K4412" s="340">
        <v>1.02</v>
      </c>
      <c r="L4412" s="10"/>
      <c r="M4412" s="670"/>
      <c r="N4412" s="420"/>
      <c r="O4412"/>
      <c r="P4412" s="412"/>
      <c r="Q4412" s="391"/>
      <c r="R4412" s="393"/>
      <c r="S4412"/>
    </row>
    <row r="4413" spans="1:19" s="128" customFormat="1" ht="30" customHeight="1" x14ac:dyDescent="0.25">
      <c r="A4413" s="64"/>
      <c r="B4413" s="24"/>
      <c r="C4413" s="64"/>
      <c r="D4413" s="64"/>
      <c r="E4413" s="13"/>
      <c r="F4413" s="13"/>
      <c r="G4413" s="13"/>
      <c r="H4413" s="13"/>
      <c r="I4413" s="13"/>
      <c r="J4413" s="10" t="s">
        <v>358</v>
      </c>
      <c r="K4413" s="14">
        <f>+K4410*K4411/K4412</f>
        <v>36.197170868347349</v>
      </c>
      <c r="L4413" s="10" t="s">
        <v>3</v>
      </c>
      <c r="M4413" s="419"/>
      <c r="N4413" s="671"/>
      <c r="O4413"/>
      <c r="P4413" s="412"/>
      <c r="Q4413" s="391"/>
      <c r="R4413" s="393"/>
      <c r="S4413"/>
    </row>
    <row r="4414" spans="1:19" s="128" customFormat="1" ht="30" customHeight="1" x14ac:dyDescent="0.25">
      <c r="A4414" s="64"/>
      <c r="B4414" s="24"/>
      <c r="C4414" s="64"/>
      <c r="D4414" s="64"/>
      <c r="E4414" s="13"/>
      <c r="F4414" s="13"/>
      <c r="G4414" s="573" t="s">
        <v>652</v>
      </c>
      <c r="H4414" s="13"/>
      <c r="I4414" s="13"/>
      <c r="J4414" s="361">
        <f>VLOOKUP(B4403,'Mil Cost Premiums for RUCs'!$A$4:$R$265,18,FALSE)</f>
        <v>1.1199953840399997</v>
      </c>
      <c r="K4414" s="14">
        <f>+K4413*J4414</f>
        <v>40.540664287856174</v>
      </c>
      <c r="L4414" s="10" t="s">
        <v>3</v>
      </c>
      <c r="M4414" s="419"/>
      <c r="N4414" s="671"/>
      <c r="O4414"/>
      <c r="P4414" s="412"/>
      <c r="Q4414" s="391"/>
      <c r="R4414" s="393"/>
      <c r="S4414"/>
    </row>
    <row r="4415" spans="1:19" s="128" customFormat="1" ht="30" customHeight="1" x14ac:dyDescent="0.25">
      <c r="A4415" s="580" t="s">
        <v>538</v>
      </c>
      <c r="B4415" s="532"/>
      <c r="C4415" s="532"/>
      <c r="D4415" s="532"/>
      <c r="E4415" s="532"/>
      <c r="F4415" s="532"/>
      <c r="G4415" s="532"/>
      <c r="H4415" s="532"/>
      <c r="I4415" s="532"/>
      <c r="J4415" s="532"/>
      <c r="K4415" s="532"/>
      <c r="L4415" s="533"/>
      <c r="M4415" s="419"/>
      <c r="N4415" s="420"/>
      <c r="O4415"/>
      <c r="P4415" s="412"/>
      <c r="Q4415" s="391"/>
      <c r="R4415" s="393"/>
      <c r="S4415"/>
    </row>
    <row r="4416" spans="1:19" s="128" customFormat="1" ht="30" customHeight="1" x14ac:dyDescent="0.25">
      <c r="A4416" s="217" t="s">
        <v>539</v>
      </c>
      <c r="B4416" s="218"/>
      <c r="C4416" s="219"/>
      <c r="D4416" s="386" t="s">
        <v>2782</v>
      </c>
      <c r="E4416" s="849"/>
      <c r="F4416" s="849"/>
      <c r="G4416" s="849"/>
      <c r="H4416" s="849"/>
      <c r="I4416" s="849"/>
      <c r="J4416" s="849"/>
      <c r="K4416" s="849"/>
      <c r="L4416" s="850"/>
      <c r="M4416" s="419"/>
      <c r="N4416" s="420"/>
      <c r="O4416"/>
      <c r="P4416" s="412"/>
      <c r="Q4416" s="391"/>
      <c r="R4416" s="393"/>
      <c r="S4416"/>
    </row>
    <row r="4417" spans="1:19" ht="30" customHeight="1" x14ac:dyDescent="0.25">
      <c r="A4417" s="217" t="s">
        <v>541</v>
      </c>
      <c r="B4417" s="218"/>
      <c r="C4417" s="219"/>
      <c r="D4417" s="386" t="s">
        <v>2783</v>
      </c>
      <c r="E4417" s="849"/>
      <c r="F4417" s="849"/>
      <c r="G4417" s="849"/>
      <c r="H4417" s="849"/>
      <c r="I4417" s="849"/>
      <c r="J4417" s="849"/>
      <c r="K4417" s="849"/>
      <c r="L4417" s="850"/>
      <c r="M4417" s="419"/>
      <c r="N4417" s="420"/>
      <c r="O4417"/>
      <c r="P4417" s="412"/>
      <c r="Q4417" s="391"/>
      <c r="R4417" s="393"/>
    </row>
    <row r="4418" spans="1:19" ht="30" customHeight="1" x14ac:dyDescent="0.25">
      <c r="A4418" s="217" t="s">
        <v>543</v>
      </c>
      <c r="B4418" s="218"/>
      <c r="C4418" s="219"/>
      <c r="D4418" s="386" t="s">
        <v>2784</v>
      </c>
      <c r="E4418" s="849"/>
      <c r="F4418" s="849"/>
      <c r="G4418" s="849"/>
      <c r="H4418" s="849"/>
      <c r="I4418" s="849"/>
      <c r="J4418" s="849"/>
      <c r="K4418" s="849"/>
      <c r="L4418" s="850"/>
      <c r="M4418" s="419"/>
      <c r="N4418" s="420"/>
      <c r="O4418"/>
      <c r="P4418" s="412"/>
      <c r="Q4418" s="391"/>
      <c r="R4418" s="393"/>
    </row>
    <row r="4419" spans="1:19" ht="30" customHeight="1" x14ac:dyDescent="0.25">
      <c r="A4419" s="217" t="s">
        <v>546</v>
      </c>
      <c r="B4419" s="218"/>
      <c r="C4419" s="219"/>
      <c r="D4419" s="386" t="s">
        <v>2785</v>
      </c>
      <c r="E4419" s="849"/>
      <c r="F4419" s="849"/>
      <c r="G4419" s="849"/>
      <c r="H4419" s="849"/>
      <c r="I4419" s="849"/>
      <c r="J4419" s="849"/>
      <c r="K4419" s="849"/>
      <c r="L4419" s="850"/>
      <c r="M4419" s="419"/>
      <c r="N4419" s="420"/>
      <c r="O4419"/>
      <c r="P4419" s="412"/>
      <c r="Q4419" s="391"/>
      <c r="R4419" s="393"/>
    </row>
    <row r="4420" spans="1:19" s="49" customFormat="1" ht="30" customHeight="1" x14ac:dyDescent="0.25">
      <c r="A4420" s="217" t="s">
        <v>548</v>
      </c>
      <c r="B4420" s="218"/>
      <c r="C4420" s="219"/>
      <c r="D4420" s="386" t="s">
        <v>2767</v>
      </c>
      <c r="E4420" s="849"/>
      <c r="F4420" s="849"/>
      <c r="G4420" s="849"/>
      <c r="H4420" s="849"/>
      <c r="I4420" s="849"/>
      <c r="J4420" s="849"/>
      <c r="K4420" s="849"/>
      <c r="L4420" s="850"/>
      <c r="M4420" s="419"/>
      <c r="N4420" s="420"/>
      <c r="P4420" s="412"/>
      <c r="Q4420" s="391"/>
      <c r="R4420" s="393"/>
    </row>
    <row r="4421" spans="1:19" s="128" customFormat="1" ht="30" customHeight="1" x14ac:dyDescent="0.25">
      <c r="A4421" s="217" t="s">
        <v>550</v>
      </c>
      <c r="B4421" s="218"/>
      <c r="C4421" s="219"/>
      <c r="D4421" s="386" t="s">
        <v>2441</v>
      </c>
      <c r="E4421" s="849"/>
      <c r="F4421" s="849"/>
      <c r="G4421" s="849"/>
      <c r="H4421" s="849"/>
      <c r="I4421" s="849"/>
      <c r="J4421" s="849"/>
      <c r="K4421" s="849"/>
      <c r="L4421" s="850"/>
      <c r="M4421" s="419"/>
      <c r="N4421" s="420"/>
      <c r="O4421"/>
      <c r="P4421" s="412"/>
      <c r="Q4421" s="391"/>
      <c r="R4421" s="393"/>
    </row>
    <row r="4422" spans="1:19" s="128" customFormat="1" ht="30" customHeight="1" x14ac:dyDescent="0.25">
      <c r="A4422" s="217" t="s">
        <v>552</v>
      </c>
      <c r="B4422" s="218"/>
      <c r="C4422" s="219"/>
      <c r="D4422" s="386" t="s">
        <v>2786</v>
      </c>
      <c r="E4422" s="849"/>
      <c r="F4422" s="849"/>
      <c r="G4422" s="849"/>
      <c r="H4422" s="849"/>
      <c r="I4422" s="849"/>
      <c r="J4422" s="849"/>
      <c r="K4422" s="849"/>
      <c r="L4422" s="850"/>
      <c r="M4422" s="419"/>
      <c r="N4422" s="420"/>
      <c r="O4422"/>
      <c r="P4422" s="412"/>
      <c r="Q4422" s="391"/>
      <c r="R4422" s="393"/>
    </row>
    <row r="4423" spans="1:19" ht="30" customHeight="1" x14ac:dyDescent="0.25">
      <c r="A4423" s="217" t="s">
        <v>553</v>
      </c>
      <c r="B4423" s="218"/>
      <c r="C4423" s="219"/>
      <c r="D4423" s="386" t="s">
        <v>554</v>
      </c>
      <c r="E4423" s="849"/>
      <c r="F4423" s="849"/>
      <c r="G4423" s="849"/>
      <c r="H4423" s="849"/>
      <c r="I4423" s="849"/>
      <c r="J4423" s="849"/>
      <c r="K4423" s="849"/>
      <c r="L4423" s="850"/>
      <c r="M4423" s="419"/>
      <c r="N4423" s="420"/>
      <c r="O4423" s="43"/>
      <c r="P4423" s="672"/>
      <c r="Q4423" s="671"/>
      <c r="R4423" s="673"/>
    </row>
    <row r="4424" spans="1:19" ht="63" customHeight="1" thickBot="1" x14ac:dyDescent="0.3">
      <c r="A4424" s="1282" t="s">
        <v>556</v>
      </c>
      <c r="B4424" s="1283"/>
      <c r="C4424" s="1284"/>
      <c r="D4424" s="386" t="s">
        <v>3406</v>
      </c>
      <c r="E4424" s="849"/>
      <c r="F4424" s="849"/>
      <c r="G4424" s="849"/>
      <c r="H4424" s="849"/>
      <c r="I4424" s="849"/>
      <c r="J4424" s="849"/>
      <c r="K4424" s="849"/>
      <c r="L4424" s="850"/>
      <c r="M4424" s="419"/>
      <c r="N4424" s="420"/>
      <c r="O4424" s="43"/>
      <c r="P4424" s="672"/>
      <c r="Q4424" s="671"/>
      <c r="R4424" s="673"/>
    </row>
    <row r="4425" spans="1:19" ht="30" customHeight="1" thickBot="1" x14ac:dyDescent="0.3">
      <c r="A4425" s="76"/>
      <c r="B4425" s="77"/>
      <c r="C4425" s="77"/>
      <c r="D4425" s="77"/>
      <c r="E4425" s="77"/>
      <c r="F4425" s="77"/>
      <c r="G4425" s="77"/>
      <c r="H4425" s="77"/>
      <c r="I4425" s="77"/>
      <c r="J4425" s="77"/>
      <c r="K4425" s="77"/>
      <c r="L4425" s="78"/>
      <c r="M4425" s="419"/>
      <c r="N4425" s="420"/>
      <c r="O4425"/>
      <c r="P4425" s="412"/>
      <c r="Q4425" s="391"/>
      <c r="R4425" s="393"/>
      <c r="S4425" s="128"/>
    </row>
    <row r="4426" spans="1:19" ht="30" customHeight="1" x14ac:dyDescent="0.25">
      <c r="A4426" s="30" t="s">
        <v>288</v>
      </c>
      <c r="B4426" s="208">
        <v>8522</v>
      </c>
      <c r="C4426" s="282" t="s">
        <v>2787</v>
      </c>
      <c r="D4426" s="283"/>
      <c r="E4426" s="177" t="s">
        <v>291</v>
      </c>
      <c r="F4426" s="178" t="s">
        <v>3</v>
      </c>
      <c r="G4426" s="250" t="s">
        <v>2188</v>
      </c>
      <c r="H4426" s="1425">
        <v>8462</v>
      </c>
      <c r="I4426" s="177" t="s">
        <v>292</v>
      </c>
      <c r="J4426" s="38" t="s">
        <v>883</v>
      </c>
      <c r="K4426" s="38"/>
      <c r="L4426" s="389"/>
      <c r="M4426" s="419"/>
      <c r="N4426" s="420"/>
      <c r="O4426"/>
      <c r="P4426" s="412"/>
      <c r="Q4426" s="391"/>
      <c r="R4426" s="393"/>
    </row>
    <row r="4427" spans="1:19" ht="30" customHeight="1" x14ac:dyDescent="0.25">
      <c r="A4427" s="48" t="s">
        <v>529</v>
      </c>
      <c r="B4427" s="394" t="s">
        <v>560</v>
      </c>
      <c r="C4427" s="395"/>
      <c r="D4427" s="396"/>
      <c r="E4427" s="397" t="s">
        <v>519</v>
      </c>
      <c r="F4427" s="397" t="s">
        <v>561</v>
      </c>
      <c r="G4427" s="398" t="s">
        <v>562</v>
      </c>
      <c r="H4427" s="399"/>
      <c r="I4427" s="181" t="s">
        <v>530</v>
      </c>
      <c r="J4427" s="181"/>
      <c r="K4427" s="493" t="s">
        <v>521</v>
      </c>
      <c r="L4427" s="494"/>
      <c r="M4427" s="425"/>
      <c r="N4427" s="420"/>
      <c r="O4427" s="128"/>
      <c r="P4427" s="713"/>
      <c r="Q4427" s="712"/>
      <c r="R4427" s="714"/>
    </row>
    <row r="4428" spans="1:19" ht="30" customHeight="1" x14ac:dyDescent="0.25">
      <c r="A4428" s="61" t="s">
        <v>773</v>
      </c>
      <c r="B4428" s="18" t="s">
        <v>2774</v>
      </c>
      <c r="C4428" s="524"/>
      <c r="D4428" s="407"/>
      <c r="E4428" s="756">
        <v>81.5</v>
      </c>
      <c r="F4428" s="1595" t="s">
        <v>2775</v>
      </c>
      <c r="G4428" s="1112">
        <v>35</v>
      </c>
      <c r="H4428" s="1414" t="s">
        <v>2776</v>
      </c>
      <c r="I4428" s="20">
        <v>1.04</v>
      </c>
      <c r="J4428" s="20"/>
      <c r="K4428" s="776">
        <f>+E4428/G4428*I4428</f>
        <v>2.4217142857142862</v>
      </c>
      <c r="L4428" s="22" t="s">
        <v>3</v>
      </c>
      <c r="M4428" s="419"/>
      <c r="N4428" s="420"/>
      <c r="O4428"/>
      <c r="P4428" s="412"/>
      <c r="Q4428" s="391"/>
      <c r="R4428" s="393"/>
    </row>
    <row r="4429" spans="1:19" s="49" customFormat="1" ht="30" customHeight="1" x14ac:dyDescent="0.25">
      <c r="A4429" s="61" t="s">
        <v>773</v>
      </c>
      <c r="B4429" s="503" t="s">
        <v>2777</v>
      </c>
      <c r="C4429" s="504"/>
      <c r="D4429" s="505"/>
      <c r="E4429" s="760">
        <v>165</v>
      </c>
      <c r="F4429" s="1595" t="s">
        <v>2775</v>
      </c>
      <c r="G4429" s="1112">
        <v>35</v>
      </c>
      <c r="H4429" s="1414" t="s">
        <v>2776</v>
      </c>
      <c r="I4429" s="20">
        <v>1.04</v>
      </c>
      <c r="J4429" s="20"/>
      <c r="K4429" s="776">
        <f>+E4429/G4429*I4429</f>
        <v>4.902857142857143</v>
      </c>
      <c r="L4429" s="22" t="s">
        <v>3</v>
      </c>
      <c r="M4429" s="419"/>
      <c r="N4429" s="420"/>
      <c r="P4429" s="412"/>
      <c r="Q4429" s="391"/>
      <c r="R4429" s="393"/>
    </row>
    <row r="4430" spans="1:19" ht="30" customHeight="1" x14ac:dyDescent="0.25">
      <c r="A4430" s="61" t="s">
        <v>773</v>
      </c>
      <c r="B4430" s="18" t="s">
        <v>2780</v>
      </c>
      <c r="C4430" s="989"/>
      <c r="D4430" s="990"/>
      <c r="E4430" s="760">
        <v>180</v>
      </c>
      <c r="F4430" s="1595" t="s">
        <v>2775</v>
      </c>
      <c r="G4430" s="1112">
        <v>35</v>
      </c>
      <c r="H4430" s="1414" t="s">
        <v>2776</v>
      </c>
      <c r="I4430" s="20">
        <v>1.04</v>
      </c>
      <c r="J4430" s="20"/>
      <c r="K4430" s="776">
        <f>+E4430/G4430*I4430</f>
        <v>5.3485714285714288</v>
      </c>
      <c r="L4430" s="22" t="s">
        <v>3</v>
      </c>
      <c r="M4430" s="670"/>
      <c r="N4430" s="420"/>
      <c r="O4430"/>
      <c r="P4430" s="412"/>
      <c r="Q4430" s="391"/>
      <c r="R4430" s="393"/>
    </row>
    <row r="4431" spans="1:19" ht="30" customHeight="1" x14ac:dyDescent="0.25">
      <c r="A4431" s="63"/>
      <c r="B4431" s="551" t="s">
        <v>2781</v>
      </c>
      <c r="C4431" s="551"/>
      <c r="D4431" s="551"/>
      <c r="E4431" s="405"/>
      <c r="F4431" s="20"/>
      <c r="G4431" s="20"/>
      <c r="H4431" s="20"/>
      <c r="I4431" s="20"/>
      <c r="J4431" s="20" t="s">
        <v>578</v>
      </c>
      <c r="K4431" s="780">
        <f>SUM(K4428:K4430)</f>
        <v>12.673142857142858</v>
      </c>
      <c r="L4431" s="20" t="s">
        <v>3</v>
      </c>
      <c r="M4431" s="670"/>
      <c r="N4431" s="420"/>
      <c r="O4431"/>
      <c r="P4431" s="412"/>
      <c r="Q4431" s="391"/>
      <c r="R4431" s="393"/>
      <c r="S4431" s="128"/>
    </row>
    <row r="4432" spans="1:19" ht="30" customHeight="1" x14ac:dyDescent="0.25">
      <c r="A4432" s="61"/>
      <c r="B4432" s="410"/>
      <c r="C4432" s="410"/>
      <c r="D4432" s="410"/>
      <c r="E4432" s="405"/>
      <c r="F4432" s="338" t="s">
        <v>533</v>
      </c>
      <c r="G4432" s="339" t="s">
        <v>534</v>
      </c>
      <c r="H4432" s="339"/>
      <c r="I4432" s="339"/>
      <c r="J4432" s="339"/>
      <c r="K4432" s="340">
        <v>1.07</v>
      </c>
      <c r="L4432" s="10"/>
      <c r="M4432" s="419"/>
      <c r="N4432" s="671"/>
      <c r="O4432"/>
      <c r="P4432" s="412"/>
      <c r="Q4432" s="391"/>
      <c r="R4432" s="393"/>
      <c r="S4432" s="128"/>
    </row>
    <row r="4433" spans="1:19" s="128" customFormat="1" ht="30" customHeight="1" x14ac:dyDescent="0.25">
      <c r="A4433" s="61"/>
      <c r="B4433" s="410"/>
      <c r="C4433" s="410"/>
      <c r="D4433" s="410"/>
      <c r="E4433" s="405"/>
      <c r="F4433" s="343"/>
      <c r="G4433" s="344" t="s">
        <v>535</v>
      </c>
      <c r="H4433" s="344"/>
      <c r="I4433" s="344"/>
      <c r="J4433" s="344"/>
      <c r="K4433" s="340">
        <v>1.02</v>
      </c>
      <c r="L4433" s="10"/>
      <c r="M4433" s="419"/>
      <c r="N4433" s="671"/>
      <c r="P4433" s="713"/>
      <c r="Q4433" s="712"/>
      <c r="R4433" s="714"/>
      <c r="S4433"/>
    </row>
    <row r="4434" spans="1:19" s="128" customFormat="1" ht="30" customHeight="1" x14ac:dyDescent="0.25">
      <c r="A4434" s="63"/>
      <c r="B4434" s="20"/>
      <c r="C4434" s="18"/>
      <c r="D4434" s="18"/>
      <c r="E4434" s="18"/>
      <c r="F4434" s="18"/>
      <c r="G4434" s="18"/>
      <c r="H4434" s="18"/>
      <c r="I4434" s="18"/>
      <c r="J4434" s="20" t="s">
        <v>358</v>
      </c>
      <c r="K4434" s="23">
        <f>+K4431*K4432/K4433</f>
        <v>13.294375350140058</v>
      </c>
      <c r="L4434" s="20" t="s">
        <v>3</v>
      </c>
      <c r="M4434" s="419"/>
      <c r="N4434" s="420"/>
      <c r="P4434" s="713"/>
      <c r="Q4434" s="712"/>
      <c r="R4434" s="714"/>
      <c r="S4434"/>
    </row>
    <row r="4435" spans="1:19" s="128" customFormat="1" ht="30" customHeight="1" thickBot="1" x14ac:dyDescent="0.3">
      <c r="A4435" s="61"/>
      <c r="B4435" s="20"/>
      <c r="C4435" s="18"/>
      <c r="D4435" s="18"/>
      <c r="E4435" s="18"/>
      <c r="F4435" s="18"/>
      <c r="G4435" s="413" t="s">
        <v>537</v>
      </c>
      <c r="H4435" s="18"/>
      <c r="I4435" s="18"/>
      <c r="J4435" s="361">
        <f>VLOOKUP(B4426,'Mil Cost Premiums for RUCs'!$A$4:$R$265,18,FALSE)</f>
        <v>1.0209999999999999</v>
      </c>
      <c r="K4435" s="23">
        <f>+K4434*J4435</f>
        <v>13.573557232492998</v>
      </c>
      <c r="L4435" s="20" t="s">
        <v>3</v>
      </c>
      <c r="M4435" s="419"/>
      <c r="N4435" s="420"/>
      <c r="P4435" s="713"/>
      <c r="Q4435" s="712"/>
      <c r="R4435" s="714"/>
      <c r="S4435"/>
    </row>
    <row r="4436" spans="1:19" ht="30" customHeight="1" thickBot="1" x14ac:dyDescent="0.3">
      <c r="A4436" s="76"/>
      <c r="B4436" s="77"/>
      <c r="C4436" s="77"/>
      <c r="D4436" s="77"/>
      <c r="E4436" s="77"/>
      <c r="F4436" s="77"/>
      <c r="G4436" s="77"/>
      <c r="H4436" s="77"/>
      <c r="I4436" s="77"/>
      <c r="J4436" s="77"/>
      <c r="K4436" s="77"/>
      <c r="L4436" s="78"/>
      <c r="M4436" s="425"/>
      <c r="N4436" s="420"/>
      <c r="O4436" s="43"/>
      <c r="P4436" s="672"/>
      <c r="Q4436" s="671"/>
      <c r="R4436" s="673"/>
    </row>
    <row r="4437" spans="1:19" ht="30" customHeight="1" x14ac:dyDescent="0.25">
      <c r="A4437" s="306" t="s">
        <v>288</v>
      </c>
      <c r="B4437" s="307">
        <v>8523</v>
      </c>
      <c r="C4437" s="880" t="s">
        <v>2788</v>
      </c>
      <c r="D4437" s="881"/>
      <c r="E4437" s="540" t="s">
        <v>291</v>
      </c>
      <c r="F4437" s="541" t="s">
        <v>3</v>
      </c>
      <c r="G4437" s="123" t="s">
        <v>375</v>
      </c>
      <c r="H4437" s="1597">
        <v>7999</v>
      </c>
      <c r="I4437" s="540" t="s">
        <v>292</v>
      </c>
      <c r="J4437" s="38" t="s">
        <v>883</v>
      </c>
      <c r="K4437" s="38"/>
      <c r="L4437" s="389"/>
      <c r="M4437" s="419"/>
      <c r="N4437" s="420"/>
      <c r="O4437" s="43"/>
      <c r="P4437" s="672"/>
      <c r="Q4437" s="671"/>
      <c r="R4437" s="673"/>
    </row>
    <row r="4438" spans="1:19" s="128" customFormat="1" ht="30" customHeight="1" x14ac:dyDescent="0.25">
      <c r="A4438" s="316" t="s">
        <v>529</v>
      </c>
      <c r="B4438" s="1598" t="s">
        <v>560</v>
      </c>
      <c r="C4438" s="1599"/>
      <c r="D4438" s="1600"/>
      <c r="E4438" s="1364" t="s">
        <v>519</v>
      </c>
      <c r="F4438" s="1364" t="s">
        <v>561</v>
      </c>
      <c r="G4438" s="1601" t="s">
        <v>562</v>
      </c>
      <c r="H4438" s="1602"/>
      <c r="I4438" s="424" t="s">
        <v>530</v>
      </c>
      <c r="J4438" s="424"/>
      <c r="K4438" s="493" t="s">
        <v>521</v>
      </c>
      <c r="L4438" s="494"/>
      <c r="M4438" s="419"/>
      <c r="N4438" s="1603"/>
      <c r="P4438" s="713"/>
      <c r="Q4438" s="712"/>
      <c r="R4438" s="714"/>
      <c r="S4438"/>
    </row>
    <row r="4439" spans="1:19" s="128" customFormat="1" ht="30" customHeight="1" x14ac:dyDescent="0.25">
      <c r="A4439" s="24" t="s">
        <v>773</v>
      </c>
      <c r="B4439" s="129" t="s">
        <v>2774</v>
      </c>
      <c r="C4439" s="130"/>
      <c r="D4439" s="131"/>
      <c r="E4439" s="696">
        <v>81.5</v>
      </c>
      <c r="F4439" s="1595" t="s">
        <v>2775</v>
      </c>
      <c r="G4439" s="697">
        <v>35</v>
      </c>
      <c r="H4439" s="1596" t="s">
        <v>2776</v>
      </c>
      <c r="I4439" s="10">
        <v>1.04</v>
      </c>
      <c r="J4439" s="10"/>
      <c r="K4439" s="699">
        <f>+E4439/G4439*I4439</f>
        <v>2.4217142857142862</v>
      </c>
      <c r="L4439" s="5" t="s">
        <v>3</v>
      </c>
      <c r="M4439" s="419"/>
      <c r="N4439" s="420"/>
      <c r="P4439" s="713"/>
      <c r="Q4439" s="712"/>
      <c r="R4439" s="714"/>
      <c r="S4439"/>
    </row>
    <row r="4440" spans="1:19" s="128" customFormat="1" ht="30" customHeight="1" x14ac:dyDescent="0.25">
      <c r="A4440" s="24" t="s">
        <v>773</v>
      </c>
      <c r="B4440" s="129" t="s">
        <v>2777</v>
      </c>
      <c r="C4440" s="130"/>
      <c r="D4440" s="131"/>
      <c r="E4440" s="700">
        <v>165</v>
      </c>
      <c r="F4440" s="1595" t="s">
        <v>2775</v>
      </c>
      <c r="G4440" s="697">
        <v>35</v>
      </c>
      <c r="H4440" s="1596" t="s">
        <v>2776</v>
      </c>
      <c r="I4440" s="10">
        <v>1.04</v>
      </c>
      <c r="J4440" s="10"/>
      <c r="K4440" s="699">
        <f>+E4440/G4440*I4440</f>
        <v>4.902857142857143</v>
      </c>
      <c r="L4440" s="5" t="s">
        <v>3</v>
      </c>
      <c r="M4440" s="419"/>
      <c r="N4440" s="420"/>
      <c r="P4440" s="713"/>
      <c r="Q4440" s="712"/>
      <c r="R4440" s="714"/>
      <c r="S4440"/>
    </row>
    <row r="4441" spans="1:19" s="128" customFormat="1" ht="30" customHeight="1" x14ac:dyDescent="0.25">
      <c r="A4441" s="24" t="s">
        <v>773</v>
      </c>
      <c r="B4441" s="129" t="s">
        <v>2778</v>
      </c>
      <c r="C4441" s="130"/>
      <c r="D4441" s="131"/>
      <c r="E4441" s="700">
        <v>715</v>
      </c>
      <c r="F4441" s="1595" t="s">
        <v>2775</v>
      </c>
      <c r="G4441" s="697">
        <v>35</v>
      </c>
      <c r="H4441" s="1596" t="s">
        <v>2776</v>
      </c>
      <c r="I4441" s="10">
        <v>1.04</v>
      </c>
      <c r="J4441" s="10"/>
      <c r="K4441" s="699">
        <f>+E4441/G4441*I4441</f>
        <v>21.245714285714286</v>
      </c>
      <c r="L4441" s="5" t="s">
        <v>3</v>
      </c>
      <c r="M4441" s="419"/>
      <c r="N4441" s="420"/>
      <c r="P4441" s="713"/>
      <c r="Q4441" s="712"/>
      <c r="R4441" s="714"/>
      <c r="S4441"/>
    </row>
    <row r="4442" spans="1:19" s="128" customFormat="1" ht="30" customHeight="1" x14ac:dyDescent="0.25">
      <c r="A4442" s="64"/>
      <c r="B4442" s="551" t="s">
        <v>2781</v>
      </c>
      <c r="C4442" s="551"/>
      <c r="D4442" s="551"/>
      <c r="E4442" s="326"/>
      <c r="F4442" s="10"/>
      <c r="G4442" s="10"/>
      <c r="H4442" s="10"/>
      <c r="I4442" s="10"/>
      <c r="J4442" s="10" t="s">
        <v>578</v>
      </c>
      <c r="K4442" s="706">
        <f>SUM(K4439:K4441)</f>
        <v>28.570285714285717</v>
      </c>
      <c r="L4442" s="10" t="s">
        <v>3</v>
      </c>
      <c r="M4442" s="419"/>
      <c r="N4442" s="420"/>
      <c r="P4442" s="713"/>
      <c r="Q4442" s="712"/>
      <c r="R4442" s="714"/>
      <c r="S4442"/>
    </row>
    <row r="4443" spans="1:19" s="128" customFormat="1" ht="30" customHeight="1" x14ac:dyDescent="0.25">
      <c r="A4443" s="61"/>
      <c r="B4443" s="498"/>
      <c r="C4443" s="498"/>
      <c r="D4443" s="498"/>
      <c r="E4443" s="405"/>
      <c r="F4443" s="338" t="s">
        <v>533</v>
      </c>
      <c r="G4443" s="339" t="s">
        <v>534</v>
      </c>
      <c r="H4443" s="339"/>
      <c r="I4443" s="339"/>
      <c r="J4443" s="339"/>
      <c r="K4443" s="340">
        <v>1.07</v>
      </c>
      <c r="L4443" s="10"/>
      <c r="M4443" s="670"/>
      <c r="N4443" s="420"/>
      <c r="P4443" s="713"/>
      <c r="Q4443" s="712"/>
      <c r="R4443" s="714"/>
      <c r="S4443"/>
    </row>
    <row r="4444" spans="1:19" s="128" customFormat="1" ht="30" customHeight="1" x14ac:dyDescent="0.25">
      <c r="A4444" s="61"/>
      <c r="B4444" s="498"/>
      <c r="C4444" s="498"/>
      <c r="D4444" s="498"/>
      <c r="E4444" s="405"/>
      <c r="F4444" s="343"/>
      <c r="G4444" s="344" t="s">
        <v>535</v>
      </c>
      <c r="H4444" s="344"/>
      <c r="I4444" s="344"/>
      <c r="J4444" s="344"/>
      <c r="K4444" s="340">
        <v>1.02</v>
      </c>
      <c r="L4444" s="10"/>
      <c r="M4444" s="670"/>
      <c r="N4444" s="1603"/>
      <c r="P4444" s="713"/>
      <c r="Q4444" s="712"/>
      <c r="R4444" s="714"/>
      <c r="S4444"/>
    </row>
    <row r="4445" spans="1:19" s="128" customFormat="1" ht="30" customHeight="1" x14ac:dyDescent="0.25">
      <c r="A4445" s="64"/>
      <c r="B4445" s="24"/>
      <c r="C4445" s="64"/>
      <c r="D4445" s="64"/>
      <c r="E4445" s="13"/>
      <c r="F4445" s="13"/>
      <c r="G4445" s="13"/>
      <c r="H4445" s="13"/>
      <c r="I4445" s="13"/>
      <c r="J4445" s="10" t="s">
        <v>358</v>
      </c>
      <c r="K4445" s="14">
        <f>+K4442*K4443/K4444</f>
        <v>29.970789915966392</v>
      </c>
      <c r="L4445" s="10" t="s">
        <v>3</v>
      </c>
      <c r="M4445" s="419"/>
      <c r="N4445" s="671"/>
      <c r="P4445" s="713"/>
      <c r="Q4445" s="712"/>
      <c r="R4445" s="714"/>
      <c r="S4445"/>
    </row>
    <row r="4446" spans="1:19" s="128" customFormat="1" ht="30" customHeight="1" x14ac:dyDescent="0.25">
      <c r="A4446" s="64"/>
      <c r="B4446" s="24"/>
      <c r="C4446" s="64"/>
      <c r="D4446" s="64"/>
      <c r="E4446" s="13"/>
      <c r="F4446" s="13"/>
      <c r="G4446" s="573" t="s">
        <v>652</v>
      </c>
      <c r="H4446" s="13"/>
      <c r="I4446" s="13"/>
      <c r="J4446" s="361">
        <f>VLOOKUP(B4437,'Mil Cost Premiums for RUCs'!$A$4:$R$265,18,FALSE)</f>
        <v>1.1199953840399997</v>
      </c>
      <c r="K4446" s="14">
        <f>+K4445*J4446</f>
        <v>33.567146361914929</v>
      </c>
      <c r="L4446" s="10" t="s">
        <v>3</v>
      </c>
      <c r="M4446" s="419"/>
      <c r="N4446" s="671"/>
      <c r="P4446" s="713"/>
      <c r="Q4446" s="712"/>
      <c r="R4446" s="714"/>
      <c r="S4446"/>
    </row>
    <row r="4447" spans="1:19" s="128" customFormat="1" ht="75" customHeight="1" x14ac:dyDescent="0.25">
      <c r="A4447" s="580" t="s">
        <v>538</v>
      </c>
      <c r="B4447" s="532"/>
      <c r="C4447" s="532"/>
      <c r="D4447" s="532"/>
      <c r="E4447" s="532"/>
      <c r="F4447" s="532"/>
      <c r="G4447" s="532"/>
      <c r="H4447" s="532"/>
      <c r="I4447" s="532"/>
      <c r="J4447" s="532"/>
      <c r="K4447" s="532"/>
      <c r="L4447" s="533"/>
      <c r="M4447" s="419"/>
      <c r="N4447" s="1603"/>
      <c r="P4447" s="713"/>
      <c r="Q4447" s="712"/>
      <c r="R4447" s="714"/>
      <c r="S4447"/>
    </row>
    <row r="4448" spans="1:19" s="128" customFormat="1" ht="30" customHeight="1" x14ac:dyDescent="0.25">
      <c r="A4448" s="217" t="s">
        <v>539</v>
      </c>
      <c r="B4448" s="218"/>
      <c r="C4448" s="219"/>
      <c r="D4448" s="386" t="s">
        <v>2782</v>
      </c>
      <c r="E4448" s="849"/>
      <c r="F4448" s="849"/>
      <c r="G4448" s="849"/>
      <c r="H4448" s="849"/>
      <c r="I4448" s="849"/>
      <c r="J4448" s="849"/>
      <c r="K4448" s="849"/>
      <c r="L4448" s="850"/>
      <c r="M4448" s="419"/>
      <c r="N4448" s="1603"/>
      <c r="P4448" s="713"/>
      <c r="Q4448" s="712"/>
      <c r="R4448" s="714"/>
      <c r="S4448"/>
    </row>
    <row r="4449" spans="1:18" ht="30" customHeight="1" x14ac:dyDescent="0.25">
      <c r="A4449" s="217" t="s">
        <v>541</v>
      </c>
      <c r="B4449" s="218"/>
      <c r="C4449" s="219"/>
      <c r="D4449" s="386" t="s">
        <v>2783</v>
      </c>
      <c r="E4449" s="849"/>
      <c r="F4449" s="849"/>
      <c r="G4449" s="849"/>
      <c r="H4449" s="849"/>
      <c r="I4449" s="849"/>
      <c r="J4449" s="849"/>
      <c r="K4449" s="849"/>
      <c r="L4449" s="850"/>
      <c r="M4449" s="419"/>
      <c r="N4449" s="1603"/>
      <c r="O4449"/>
      <c r="P4449" s="412"/>
      <c r="Q4449" s="391"/>
      <c r="R4449" s="393"/>
    </row>
    <row r="4450" spans="1:18" ht="30" customHeight="1" x14ac:dyDescent="0.25">
      <c r="A4450" s="217" t="s">
        <v>543</v>
      </c>
      <c r="B4450" s="218"/>
      <c r="C4450" s="219"/>
      <c r="D4450" s="386" t="s">
        <v>2789</v>
      </c>
      <c r="E4450" s="849"/>
      <c r="F4450" s="849"/>
      <c r="G4450" s="849"/>
      <c r="H4450" s="849"/>
      <c r="I4450" s="849"/>
      <c r="J4450" s="849"/>
      <c r="K4450" s="849"/>
      <c r="L4450" s="850"/>
      <c r="M4450" s="419"/>
      <c r="N4450" s="1603"/>
      <c r="O4450"/>
      <c r="P4450" s="412"/>
      <c r="Q4450" s="391"/>
      <c r="R4450" s="393"/>
    </row>
    <row r="4451" spans="1:18" ht="30" customHeight="1" x14ac:dyDescent="0.25">
      <c r="A4451" s="217" t="s">
        <v>546</v>
      </c>
      <c r="B4451" s="218"/>
      <c r="C4451" s="219"/>
      <c r="D4451" s="386" t="s">
        <v>2790</v>
      </c>
      <c r="E4451" s="849"/>
      <c r="F4451" s="849"/>
      <c r="G4451" s="849"/>
      <c r="H4451" s="849"/>
      <c r="I4451" s="849"/>
      <c r="J4451" s="849"/>
      <c r="K4451" s="849"/>
      <c r="L4451" s="850"/>
      <c r="M4451" s="419"/>
      <c r="N4451" s="1603"/>
      <c r="O4451"/>
      <c r="P4451" s="412"/>
      <c r="Q4451" s="391"/>
      <c r="R4451" s="393"/>
    </row>
    <row r="4452" spans="1:18" s="49" customFormat="1" ht="30" customHeight="1" x14ac:dyDescent="0.25">
      <c r="A4452" s="217" t="s">
        <v>548</v>
      </c>
      <c r="B4452" s="218"/>
      <c r="C4452" s="219"/>
      <c r="D4452" s="386" t="s">
        <v>2767</v>
      </c>
      <c r="E4452" s="849"/>
      <c r="F4452" s="849"/>
      <c r="G4452" s="849"/>
      <c r="H4452" s="849"/>
      <c r="I4452" s="849"/>
      <c r="J4452" s="849"/>
      <c r="K4452" s="849"/>
      <c r="L4452" s="850"/>
      <c r="M4452" s="419"/>
      <c r="N4452" s="1603"/>
      <c r="P4452" s="412"/>
      <c r="Q4452" s="391"/>
      <c r="R4452" s="393"/>
    </row>
    <row r="4453" spans="1:18" ht="30" customHeight="1" x14ac:dyDescent="0.25">
      <c r="A4453" s="217" t="s">
        <v>550</v>
      </c>
      <c r="B4453" s="218"/>
      <c r="C4453" s="219"/>
      <c r="D4453" s="386" t="s">
        <v>2441</v>
      </c>
      <c r="E4453" s="849"/>
      <c r="F4453" s="849"/>
      <c r="G4453" s="849"/>
      <c r="H4453" s="849"/>
      <c r="I4453" s="849"/>
      <c r="J4453" s="849"/>
      <c r="K4453" s="849"/>
      <c r="L4453" s="850"/>
      <c r="M4453" s="419"/>
      <c r="N4453" s="1603"/>
      <c r="O4453" s="128"/>
      <c r="P4453" s="713"/>
      <c r="Q4453" s="712"/>
      <c r="R4453" s="714"/>
    </row>
    <row r="4454" spans="1:18" s="128" customFormat="1" ht="30" customHeight="1" x14ac:dyDescent="0.25">
      <c r="A4454" s="217" t="s">
        <v>552</v>
      </c>
      <c r="B4454" s="218"/>
      <c r="C4454" s="219"/>
      <c r="D4454" s="386" t="s">
        <v>2786</v>
      </c>
      <c r="E4454" s="849"/>
      <c r="F4454" s="849"/>
      <c r="G4454" s="849"/>
      <c r="H4454" s="849"/>
      <c r="I4454" s="849"/>
      <c r="J4454" s="849"/>
      <c r="K4454" s="849"/>
      <c r="L4454" s="850"/>
      <c r="M4454" s="419"/>
      <c r="N4454" s="1603"/>
      <c r="P4454" s="713"/>
      <c r="Q4454" s="712"/>
      <c r="R4454" s="714"/>
    </row>
    <row r="4455" spans="1:18" s="128" customFormat="1" ht="30" customHeight="1" x14ac:dyDescent="0.25">
      <c r="A4455" s="217" t="s">
        <v>553</v>
      </c>
      <c r="B4455" s="218"/>
      <c r="C4455" s="219"/>
      <c r="D4455" s="386" t="s">
        <v>554</v>
      </c>
      <c r="E4455" s="849"/>
      <c r="F4455" s="849"/>
      <c r="G4455" s="849"/>
      <c r="H4455" s="849"/>
      <c r="I4455" s="849"/>
      <c r="J4455" s="849"/>
      <c r="K4455" s="849"/>
      <c r="L4455" s="850"/>
      <c r="M4455" s="419"/>
      <c r="N4455" s="1603"/>
      <c r="O4455"/>
      <c r="P4455" s="412"/>
      <c r="Q4455" s="391"/>
      <c r="R4455" s="393"/>
    </row>
    <row r="4456" spans="1:18" s="556" customFormat="1" ht="64.5" customHeight="1" thickBot="1" x14ac:dyDescent="0.3">
      <c r="A4456" s="1014" t="s">
        <v>556</v>
      </c>
      <c r="B4456" s="1015"/>
      <c r="C4456" s="1016"/>
      <c r="D4456" s="386" t="s">
        <v>3407</v>
      </c>
      <c r="E4456" s="849"/>
      <c r="F4456" s="849"/>
      <c r="G4456" s="849"/>
      <c r="H4456" s="849"/>
      <c r="I4456" s="849"/>
      <c r="J4456" s="849"/>
      <c r="K4456" s="849"/>
      <c r="L4456" s="850"/>
      <c r="M4456" s="419"/>
      <c r="N4456" s="1603"/>
      <c r="O4456" s="25"/>
      <c r="P4456" s="566"/>
      <c r="Q4456" s="420"/>
      <c r="R4456" s="567"/>
    </row>
    <row r="4457" spans="1:18" ht="30" customHeight="1" thickBot="1" x14ac:dyDescent="0.3">
      <c r="A4457" s="76"/>
      <c r="B4457" s="77"/>
      <c r="C4457" s="77"/>
      <c r="D4457" s="77"/>
      <c r="E4457" s="77"/>
      <c r="F4457" s="77"/>
      <c r="G4457" s="77"/>
      <c r="H4457" s="77"/>
      <c r="I4457" s="77"/>
      <c r="J4457" s="77"/>
      <c r="K4457" s="77"/>
      <c r="L4457" s="78"/>
      <c r="M4457" s="419"/>
      <c r="N4457" s="1603"/>
      <c r="O4457" s="43"/>
      <c r="P4457" s="672"/>
      <c r="Q4457" s="671"/>
      <c r="R4457" s="673"/>
    </row>
    <row r="4458" spans="1:18" ht="30" customHeight="1" x14ac:dyDescent="0.25">
      <c r="A4458" s="306" t="s">
        <v>288</v>
      </c>
      <c r="B4458" s="307">
        <v>8524</v>
      </c>
      <c r="C4458" s="880" t="s">
        <v>2791</v>
      </c>
      <c r="D4458" s="881"/>
      <c r="E4458" s="540" t="s">
        <v>291</v>
      </c>
      <c r="F4458" s="541" t="s">
        <v>3</v>
      </c>
      <c r="G4458" s="123" t="s">
        <v>375</v>
      </c>
      <c r="H4458" s="600">
        <v>4404</v>
      </c>
      <c r="I4458" s="540" t="s">
        <v>292</v>
      </c>
      <c r="J4458" s="38" t="s">
        <v>883</v>
      </c>
      <c r="K4458" s="38"/>
      <c r="L4458" s="389"/>
      <c r="M4458" s="419"/>
      <c r="N4458" s="1603"/>
      <c r="O4458" s="43"/>
      <c r="P4458" s="672"/>
      <c r="Q4458" s="671"/>
      <c r="R4458" s="673"/>
    </row>
    <row r="4459" spans="1:18" ht="30" customHeight="1" x14ac:dyDescent="0.25">
      <c r="A4459" s="695" t="s">
        <v>529</v>
      </c>
      <c r="B4459" s="883" t="s">
        <v>560</v>
      </c>
      <c r="C4459" s="884"/>
      <c r="D4459" s="885"/>
      <c r="E4459" s="546" t="s">
        <v>519</v>
      </c>
      <c r="F4459" s="546" t="s">
        <v>561</v>
      </c>
      <c r="G4459" s="547" t="s">
        <v>562</v>
      </c>
      <c r="H4459" s="548"/>
      <c r="I4459" s="424" t="s">
        <v>530</v>
      </c>
      <c r="J4459" s="424"/>
      <c r="K4459" s="493" t="s">
        <v>521</v>
      </c>
      <c r="L4459" s="494"/>
      <c r="M4459" s="425"/>
      <c r="N4459" s="1603"/>
      <c r="O4459"/>
      <c r="P4459" s="412"/>
      <c r="Q4459" s="391"/>
      <c r="R4459" s="393"/>
    </row>
    <row r="4460" spans="1:18" s="128" customFormat="1" ht="30" customHeight="1" x14ac:dyDescent="0.25">
      <c r="A4460" s="24" t="s">
        <v>849</v>
      </c>
      <c r="B4460" s="138" t="s">
        <v>2792</v>
      </c>
      <c r="C4460" s="139"/>
      <c r="D4460" s="140"/>
      <c r="E4460" s="700">
        <f>+(4.7+7.12)/2</f>
        <v>5.91</v>
      </c>
      <c r="F4460" s="5" t="s">
        <v>9</v>
      </c>
      <c r="G4460" s="1547">
        <v>9</v>
      </c>
      <c r="H4460" s="698" t="s">
        <v>828</v>
      </c>
      <c r="I4460" s="10">
        <v>1.04</v>
      </c>
      <c r="J4460" s="5"/>
      <c r="K4460" s="14">
        <f>+E4460*G4460*I4460</f>
        <v>55.317599999999999</v>
      </c>
      <c r="L4460" s="5" t="s">
        <v>3</v>
      </c>
      <c r="M4460" s="419"/>
      <c r="N4460" s="420"/>
      <c r="P4460" s="713"/>
      <c r="Q4460" s="712"/>
      <c r="R4460" s="714"/>
    </row>
    <row r="4461" spans="1:18" s="128" customFormat="1" ht="30" customHeight="1" x14ac:dyDescent="0.25">
      <c r="A4461" s="61"/>
      <c r="B4461" s="498"/>
      <c r="C4461" s="498"/>
      <c r="D4461" s="498"/>
      <c r="E4461" s="405"/>
      <c r="F4461" s="338" t="s">
        <v>533</v>
      </c>
      <c r="G4461" s="339" t="s">
        <v>534</v>
      </c>
      <c r="H4461" s="339"/>
      <c r="I4461" s="339"/>
      <c r="J4461" s="339"/>
      <c r="K4461" s="340">
        <v>1.07</v>
      </c>
      <c r="L4461" s="10"/>
      <c r="M4461" s="419"/>
      <c r="N4461" s="420"/>
      <c r="P4461" s="713"/>
      <c r="Q4461" s="712"/>
      <c r="R4461" s="714"/>
    </row>
    <row r="4462" spans="1:18" s="128" customFormat="1" ht="30" customHeight="1" x14ac:dyDescent="0.25">
      <c r="A4462" s="61"/>
      <c r="B4462" s="498"/>
      <c r="C4462" s="498"/>
      <c r="D4462" s="498"/>
      <c r="E4462" s="405"/>
      <c r="F4462" s="343"/>
      <c r="G4462" s="344" t="s">
        <v>535</v>
      </c>
      <c r="H4462" s="344"/>
      <c r="I4462" s="344"/>
      <c r="J4462" s="344"/>
      <c r="K4462" s="340">
        <v>1.02</v>
      </c>
      <c r="L4462" s="10"/>
      <c r="M4462" s="419"/>
      <c r="N4462" s="420"/>
      <c r="P4462" s="713"/>
      <c r="Q4462" s="712"/>
      <c r="R4462" s="714"/>
    </row>
    <row r="4463" spans="1:18" s="1533" customFormat="1" ht="30" customHeight="1" x14ac:dyDescent="0.25">
      <c r="A4463" s="1538"/>
      <c r="B4463" s="1181"/>
      <c r="C4463" s="974"/>
      <c r="D4463" s="1604"/>
      <c r="E4463" s="326"/>
      <c r="F4463" s="5"/>
      <c r="G4463" s="844"/>
      <c r="H4463" s="1041"/>
      <c r="I4463" s="10"/>
      <c r="J4463" s="10" t="s">
        <v>358</v>
      </c>
      <c r="K4463" s="14">
        <f>+K4460*K4461/K4462</f>
        <v>58.029247058823529</v>
      </c>
      <c r="L4463" s="10" t="s">
        <v>3</v>
      </c>
      <c r="M4463" s="419"/>
      <c r="N4463" s="420"/>
      <c r="P4463" s="713"/>
      <c r="Q4463" s="712"/>
      <c r="R4463" s="714"/>
    </row>
    <row r="4464" spans="1:18" s="128" customFormat="1" ht="30" customHeight="1" x14ac:dyDescent="0.25">
      <c r="A4464" s="1538"/>
      <c r="B4464" s="463"/>
      <c r="C4464" s="463"/>
      <c r="D4464" s="463"/>
      <c r="E4464" s="326"/>
      <c r="F4464" s="13"/>
      <c r="G4464" s="1605" t="s">
        <v>652</v>
      </c>
      <c r="H4464" s="10"/>
      <c r="I4464" s="10"/>
      <c r="J4464" s="361">
        <f>VLOOKUP(B4458,'Mil Cost Premiums for RUCs'!$A$4:$R$265,18,FALSE)</f>
        <v>1.0209999999999999</v>
      </c>
      <c r="K4464" s="14">
        <f>+K4463*J4464</f>
        <v>59.247861247058815</v>
      </c>
      <c r="L4464" s="10" t="s">
        <v>3</v>
      </c>
      <c r="M4464" s="670"/>
      <c r="N4464" s="1603"/>
      <c r="P4464" s="713"/>
      <c r="Q4464" s="712"/>
      <c r="R4464" s="714"/>
    </row>
    <row r="4465" spans="1:18" s="128" customFormat="1" ht="75" customHeight="1" x14ac:dyDescent="0.25">
      <c r="A4465" s="580" t="s">
        <v>538</v>
      </c>
      <c r="B4465" s="532"/>
      <c r="C4465" s="532"/>
      <c r="D4465" s="532"/>
      <c r="E4465" s="532"/>
      <c r="F4465" s="532"/>
      <c r="G4465" s="532"/>
      <c r="H4465" s="532"/>
      <c r="I4465" s="532"/>
      <c r="J4465" s="532"/>
      <c r="K4465" s="532"/>
      <c r="L4465" s="533"/>
      <c r="M4465" s="670"/>
      <c r="N4465" s="1603"/>
      <c r="P4465" s="713"/>
      <c r="Q4465" s="712"/>
      <c r="R4465" s="714"/>
    </row>
    <row r="4466" spans="1:18" s="128" customFormat="1" ht="30" customHeight="1" x14ac:dyDescent="0.25">
      <c r="A4466" s="217" t="s">
        <v>539</v>
      </c>
      <c r="B4466" s="218"/>
      <c r="C4466" s="219"/>
      <c r="D4466" s="386" t="s">
        <v>2793</v>
      </c>
      <c r="E4466" s="849"/>
      <c r="F4466" s="849"/>
      <c r="G4466" s="849"/>
      <c r="H4466" s="849"/>
      <c r="I4466" s="849"/>
      <c r="J4466" s="849"/>
      <c r="K4466" s="849"/>
      <c r="L4466" s="850"/>
      <c r="M4466" s="419"/>
      <c r="N4466" s="671"/>
      <c r="P4466" s="713"/>
      <c r="Q4466" s="712"/>
      <c r="R4466" s="714"/>
    </row>
    <row r="4467" spans="1:18" s="128" customFormat="1" ht="30" customHeight="1" x14ac:dyDescent="0.25">
      <c r="A4467" s="217" t="s">
        <v>541</v>
      </c>
      <c r="B4467" s="218"/>
      <c r="C4467" s="219"/>
      <c r="D4467" s="386" t="s">
        <v>2794</v>
      </c>
      <c r="E4467" s="849"/>
      <c r="F4467" s="849"/>
      <c r="G4467" s="849"/>
      <c r="H4467" s="849"/>
      <c r="I4467" s="849"/>
      <c r="J4467" s="849"/>
      <c r="K4467" s="849"/>
      <c r="L4467" s="850"/>
      <c r="M4467" s="419"/>
      <c r="N4467" s="671"/>
      <c r="P4467" s="713"/>
      <c r="Q4467" s="712"/>
      <c r="R4467" s="714"/>
    </row>
    <row r="4468" spans="1:18" ht="30" customHeight="1" x14ac:dyDescent="0.25">
      <c r="A4468" s="217" t="s">
        <v>543</v>
      </c>
      <c r="B4468" s="218"/>
      <c r="C4468" s="219"/>
      <c r="D4468" s="386" t="s">
        <v>2795</v>
      </c>
      <c r="E4468" s="849"/>
      <c r="F4468" s="849"/>
      <c r="G4468" s="849"/>
      <c r="H4468" s="849"/>
      <c r="I4468" s="849"/>
      <c r="J4468" s="849"/>
      <c r="K4468" s="849"/>
      <c r="L4468" s="850"/>
      <c r="M4468" s="419"/>
      <c r="N4468" s="420"/>
      <c r="O4468" s="43"/>
      <c r="P4468" s="672"/>
      <c r="Q4468" s="671"/>
      <c r="R4468" s="673"/>
    </row>
    <row r="4469" spans="1:18" ht="30" customHeight="1" x14ac:dyDescent="0.25">
      <c r="A4469" s="217" t="s">
        <v>546</v>
      </c>
      <c r="B4469" s="218"/>
      <c r="C4469" s="219"/>
      <c r="D4469" s="386" t="s">
        <v>2796</v>
      </c>
      <c r="E4469" s="849"/>
      <c r="F4469" s="849"/>
      <c r="G4469" s="849"/>
      <c r="H4469" s="849"/>
      <c r="I4469" s="849"/>
      <c r="J4469" s="849"/>
      <c r="K4469" s="849"/>
      <c r="L4469" s="850"/>
      <c r="M4469" s="419"/>
      <c r="N4469" s="420"/>
      <c r="O4469" s="43"/>
      <c r="P4469" s="672"/>
      <c r="Q4469" s="671"/>
      <c r="R4469" s="673"/>
    </row>
    <row r="4470" spans="1:18" s="128" customFormat="1" ht="30" customHeight="1" x14ac:dyDescent="0.25">
      <c r="A4470" s="217" t="s">
        <v>548</v>
      </c>
      <c r="B4470" s="218"/>
      <c r="C4470" s="219"/>
      <c r="D4470" s="386" t="s">
        <v>2797</v>
      </c>
      <c r="E4470" s="849"/>
      <c r="F4470" s="849"/>
      <c r="G4470" s="849"/>
      <c r="H4470" s="849"/>
      <c r="I4470" s="849"/>
      <c r="J4470" s="849"/>
      <c r="K4470" s="849"/>
      <c r="L4470" s="850"/>
      <c r="M4470" s="425"/>
      <c r="N4470" s="420"/>
      <c r="P4470" s="713"/>
      <c r="Q4470" s="712"/>
      <c r="R4470" s="714"/>
    </row>
    <row r="4471" spans="1:18" s="128" customFormat="1" ht="30" customHeight="1" x14ac:dyDescent="0.25">
      <c r="A4471" s="217" t="s">
        <v>550</v>
      </c>
      <c r="B4471" s="218"/>
      <c r="C4471" s="219"/>
      <c r="D4471" s="386" t="s">
        <v>2441</v>
      </c>
      <c r="E4471" s="849"/>
      <c r="F4471" s="849"/>
      <c r="G4471" s="849"/>
      <c r="H4471" s="849"/>
      <c r="I4471" s="849"/>
      <c r="J4471" s="849"/>
      <c r="K4471" s="849"/>
      <c r="L4471" s="850"/>
      <c r="M4471" s="419"/>
      <c r="N4471" s="1603"/>
      <c r="P4471" s="713"/>
      <c r="Q4471" s="712"/>
      <c r="R4471" s="714"/>
    </row>
    <row r="4472" spans="1:18" s="128" customFormat="1" ht="30" customHeight="1" x14ac:dyDescent="0.25">
      <c r="A4472" s="217" t="s">
        <v>552</v>
      </c>
      <c r="B4472" s="218"/>
      <c r="C4472" s="219"/>
      <c r="D4472" s="386" t="s">
        <v>2786</v>
      </c>
      <c r="E4472" s="849"/>
      <c r="F4472" s="849"/>
      <c r="G4472" s="849"/>
      <c r="H4472" s="849"/>
      <c r="I4472" s="849"/>
      <c r="J4472" s="849"/>
      <c r="K4472" s="849"/>
      <c r="L4472" s="850"/>
      <c r="M4472" s="419"/>
      <c r="N4472" s="1603"/>
      <c r="P4472" s="713"/>
      <c r="Q4472" s="712"/>
      <c r="R4472" s="714"/>
    </row>
    <row r="4473" spans="1:18" s="128" customFormat="1" ht="30" customHeight="1" x14ac:dyDescent="0.25">
      <c r="A4473" s="217" t="s">
        <v>553</v>
      </c>
      <c r="B4473" s="218"/>
      <c r="C4473" s="219"/>
      <c r="D4473" s="386" t="s">
        <v>554</v>
      </c>
      <c r="E4473" s="849"/>
      <c r="F4473" s="849"/>
      <c r="G4473" s="849"/>
      <c r="H4473" s="849"/>
      <c r="I4473" s="849"/>
      <c r="J4473" s="849"/>
      <c r="K4473" s="849"/>
      <c r="L4473" s="850"/>
      <c r="M4473" s="419"/>
      <c r="N4473" s="1603"/>
      <c r="P4473" s="713"/>
      <c r="Q4473" s="712"/>
      <c r="R4473" s="714"/>
    </row>
    <row r="4474" spans="1:18" s="128" customFormat="1" ht="30" customHeight="1" thickBot="1" x14ac:dyDescent="0.3">
      <c r="A4474" s="1282" t="s">
        <v>556</v>
      </c>
      <c r="B4474" s="1283"/>
      <c r="C4474" s="1284"/>
      <c r="D4474" s="386" t="s">
        <v>2798</v>
      </c>
      <c r="E4474" s="849"/>
      <c r="F4474" s="849"/>
      <c r="G4474" s="849"/>
      <c r="H4474" s="849"/>
      <c r="I4474" s="849"/>
      <c r="J4474" s="849"/>
      <c r="K4474" s="849"/>
      <c r="L4474" s="850"/>
      <c r="M4474" s="419"/>
      <c r="N4474" s="1603"/>
      <c r="P4474" s="713"/>
      <c r="Q4474" s="712"/>
      <c r="R4474" s="714"/>
    </row>
    <row r="4475" spans="1:18" s="128" customFormat="1" ht="30" customHeight="1" thickBot="1" x14ac:dyDescent="0.3">
      <c r="A4475" s="76"/>
      <c r="B4475" s="77"/>
      <c r="C4475" s="77"/>
      <c r="D4475" s="77"/>
      <c r="E4475" s="77"/>
      <c r="F4475" s="77"/>
      <c r="G4475" s="77"/>
      <c r="H4475" s="77"/>
      <c r="I4475" s="77"/>
      <c r="J4475" s="77"/>
      <c r="K4475" s="77"/>
      <c r="L4475" s="78"/>
      <c r="M4475" s="670"/>
      <c r="N4475" s="1603"/>
      <c r="P4475" s="713"/>
      <c r="Q4475" s="712"/>
      <c r="R4475" s="714"/>
    </row>
    <row r="4476" spans="1:18" s="128" customFormat="1" ht="30" customHeight="1" x14ac:dyDescent="0.25">
      <c r="A4476" s="306" t="s">
        <v>288</v>
      </c>
      <c r="B4476" s="307">
        <v>8525</v>
      </c>
      <c r="C4476" s="1606" t="s">
        <v>2799</v>
      </c>
      <c r="D4476" s="1607"/>
      <c r="E4476" s="540" t="s">
        <v>291</v>
      </c>
      <c r="F4476" s="541" t="s">
        <v>3</v>
      </c>
      <c r="G4476" s="123" t="s">
        <v>375</v>
      </c>
      <c r="H4476" s="1608">
        <v>90</v>
      </c>
      <c r="I4476" s="540" t="s">
        <v>292</v>
      </c>
      <c r="J4476" s="38" t="s">
        <v>883</v>
      </c>
      <c r="K4476" s="38"/>
      <c r="L4476" s="389"/>
      <c r="M4476" s="670"/>
      <c r="N4476" s="1603"/>
      <c r="P4476" s="713"/>
      <c r="Q4476" s="712"/>
      <c r="R4476" s="714"/>
    </row>
    <row r="4477" spans="1:18" s="128" customFormat="1" ht="30" customHeight="1" x14ac:dyDescent="0.25">
      <c r="A4477" s="316" t="s">
        <v>529</v>
      </c>
      <c r="B4477" s="1609" t="s">
        <v>560</v>
      </c>
      <c r="C4477" s="1610"/>
      <c r="D4477" s="1611"/>
      <c r="E4477" s="1364" t="s">
        <v>519</v>
      </c>
      <c r="F4477" s="1364" t="s">
        <v>561</v>
      </c>
      <c r="G4477" s="1612" t="s">
        <v>562</v>
      </c>
      <c r="H4477" s="938"/>
      <c r="I4477" s="424" t="s">
        <v>530</v>
      </c>
      <c r="J4477" s="424"/>
      <c r="K4477" s="493" t="s">
        <v>521</v>
      </c>
      <c r="L4477" s="494"/>
      <c r="M4477" s="419"/>
      <c r="N4477" s="671"/>
      <c r="P4477" s="713"/>
      <c r="Q4477" s="712"/>
      <c r="R4477" s="714"/>
    </row>
    <row r="4478" spans="1:18" s="128" customFormat="1" ht="30" customHeight="1" x14ac:dyDescent="0.25">
      <c r="A4478" s="24" t="s">
        <v>773</v>
      </c>
      <c r="B4478" s="138" t="s">
        <v>2800</v>
      </c>
      <c r="C4478" s="139"/>
      <c r="D4478" s="140"/>
      <c r="E4478" s="700">
        <f>+(71+407)/2</f>
        <v>239</v>
      </c>
      <c r="F4478" s="5" t="s">
        <v>9</v>
      </c>
      <c r="G4478" s="1547">
        <v>9</v>
      </c>
      <c r="H4478" s="698" t="s">
        <v>828</v>
      </c>
      <c r="I4478" s="10">
        <v>1.04</v>
      </c>
      <c r="J4478" s="5"/>
      <c r="K4478" s="14">
        <f>+E4478*G4478*I4478</f>
        <v>2237.04</v>
      </c>
      <c r="L4478" s="5" t="s">
        <v>3</v>
      </c>
      <c r="M4478" s="419"/>
      <c r="N4478" s="671"/>
      <c r="P4478" s="713"/>
      <c r="Q4478" s="712"/>
      <c r="R4478" s="714"/>
    </row>
    <row r="4479" spans="1:18" s="128" customFormat="1" ht="30" customHeight="1" x14ac:dyDescent="0.25">
      <c r="A4479" s="61"/>
      <c r="B4479" s="498"/>
      <c r="C4479" s="498"/>
      <c r="D4479" s="498"/>
      <c r="E4479" s="405"/>
      <c r="F4479" s="338" t="s">
        <v>533</v>
      </c>
      <c r="G4479" s="339" t="s">
        <v>534</v>
      </c>
      <c r="H4479" s="339"/>
      <c r="I4479" s="339"/>
      <c r="J4479" s="339"/>
      <c r="K4479" s="340">
        <v>1.07</v>
      </c>
      <c r="L4479" s="10"/>
      <c r="M4479" s="419"/>
      <c r="N4479" s="1603"/>
      <c r="P4479" s="713"/>
      <c r="Q4479" s="712"/>
      <c r="R4479" s="714"/>
    </row>
    <row r="4480" spans="1:18" s="128" customFormat="1" ht="30" customHeight="1" x14ac:dyDescent="0.25">
      <c r="A4480" s="61"/>
      <c r="B4480" s="498"/>
      <c r="C4480" s="498"/>
      <c r="D4480" s="498"/>
      <c r="E4480" s="405"/>
      <c r="F4480" s="343"/>
      <c r="G4480" s="344" t="s">
        <v>535</v>
      </c>
      <c r="H4480" s="344"/>
      <c r="I4480" s="344"/>
      <c r="J4480" s="344"/>
      <c r="K4480" s="340">
        <v>1.02</v>
      </c>
      <c r="L4480" s="10"/>
      <c r="M4480" s="419"/>
      <c r="N4480" s="1603"/>
      <c r="P4480" s="713"/>
      <c r="Q4480" s="712"/>
      <c r="R4480" s="714"/>
    </row>
    <row r="4481" spans="1:18" s="128" customFormat="1" ht="30" customHeight="1" x14ac:dyDescent="0.25">
      <c r="A4481" s="1538"/>
      <c r="B4481" s="1181"/>
      <c r="C4481" s="974"/>
      <c r="D4481" s="1604"/>
      <c r="E4481" s="326"/>
      <c r="F4481" s="5"/>
      <c r="G4481" s="844"/>
      <c r="H4481" s="1041"/>
      <c r="I4481" s="10"/>
      <c r="J4481" s="10" t="s">
        <v>358</v>
      </c>
      <c r="K4481" s="14">
        <f>+K4478*K4479/K4480</f>
        <v>2346.698823529412</v>
      </c>
      <c r="L4481" s="10" t="s">
        <v>3</v>
      </c>
      <c r="M4481" s="419"/>
      <c r="N4481" s="1603"/>
      <c r="P4481" s="713"/>
      <c r="Q4481" s="712"/>
      <c r="R4481" s="714"/>
    </row>
    <row r="4482" spans="1:18" s="128" customFormat="1" ht="30" customHeight="1" x14ac:dyDescent="0.25">
      <c r="A4482" s="1538"/>
      <c r="B4482" s="463"/>
      <c r="C4482" s="463"/>
      <c r="D4482" s="463"/>
      <c r="E4482" s="326"/>
      <c r="F4482" s="10"/>
      <c r="G4482" s="1613" t="s">
        <v>652</v>
      </c>
      <c r="H4482" s="10"/>
      <c r="I4482" s="10"/>
      <c r="J4482" s="361">
        <f>VLOOKUP(B4476,'Mil Cost Premiums for RUCs'!$A$4:$R$265,18,FALSE)</f>
        <v>1.0905505199999999</v>
      </c>
      <c r="K4482" s="14">
        <f>+K4481*J4482</f>
        <v>2559.1936222833883</v>
      </c>
      <c r="L4482" s="10" t="s">
        <v>3</v>
      </c>
      <c r="M4482" s="419"/>
      <c r="N4482" s="1603"/>
      <c r="P4482" s="713"/>
      <c r="Q4482" s="712"/>
      <c r="R4482" s="714"/>
    </row>
    <row r="4483" spans="1:18" s="128" customFormat="1" ht="75" customHeight="1" x14ac:dyDescent="0.25">
      <c r="A4483" s="580" t="s">
        <v>538</v>
      </c>
      <c r="B4483" s="532"/>
      <c r="C4483" s="532"/>
      <c r="D4483" s="532"/>
      <c r="E4483" s="532"/>
      <c r="F4483" s="532"/>
      <c r="G4483" s="532"/>
      <c r="H4483" s="532"/>
      <c r="I4483" s="532"/>
      <c r="J4483" s="532"/>
      <c r="K4483" s="532"/>
      <c r="L4483" s="533"/>
      <c r="M4483" s="419"/>
      <c r="N4483" s="1603"/>
      <c r="P4483" s="713"/>
      <c r="Q4483" s="712"/>
      <c r="R4483" s="714"/>
    </row>
    <row r="4484" spans="1:18" s="1533" customFormat="1" ht="30" customHeight="1" x14ac:dyDescent="0.25">
      <c r="A4484" s="217" t="s">
        <v>539</v>
      </c>
      <c r="B4484" s="218"/>
      <c r="C4484" s="219"/>
      <c r="D4484" s="386" t="s">
        <v>2801</v>
      </c>
      <c r="E4484" s="849"/>
      <c r="F4484" s="849"/>
      <c r="G4484" s="849"/>
      <c r="H4484" s="849"/>
      <c r="I4484" s="849"/>
      <c r="J4484" s="849"/>
      <c r="K4484" s="849"/>
      <c r="L4484" s="850"/>
      <c r="M4484" s="419"/>
      <c r="N4484" s="1603"/>
      <c r="P4484" s="713"/>
      <c r="Q4484" s="712"/>
      <c r="R4484" s="714"/>
    </row>
    <row r="4485" spans="1:18" s="128" customFormat="1" ht="30" customHeight="1" x14ac:dyDescent="0.25">
      <c r="A4485" s="217" t="s">
        <v>541</v>
      </c>
      <c r="B4485" s="218"/>
      <c r="C4485" s="219"/>
      <c r="D4485" s="386" t="s">
        <v>2764</v>
      </c>
      <c r="E4485" s="849"/>
      <c r="F4485" s="849"/>
      <c r="G4485" s="849"/>
      <c r="H4485" s="849"/>
      <c r="I4485" s="849"/>
      <c r="J4485" s="849"/>
      <c r="K4485" s="849"/>
      <c r="L4485" s="850"/>
      <c r="M4485" s="419"/>
      <c r="N4485" s="1603"/>
      <c r="P4485" s="713"/>
      <c r="Q4485" s="712"/>
      <c r="R4485" s="714"/>
    </row>
    <row r="4486" spans="1:18" ht="30" customHeight="1" x14ac:dyDescent="0.25">
      <c r="A4486" s="217" t="s">
        <v>543</v>
      </c>
      <c r="B4486" s="218"/>
      <c r="C4486" s="219"/>
      <c r="D4486" s="386" t="s">
        <v>2802</v>
      </c>
      <c r="E4486" s="849"/>
      <c r="F4486" s="849"/>
      <c r="G4486" s="849"/>
      <c r="H4486" s="849"/>
      <c r="I4486" s="849"/>
      <c r="J4486" s="849"/>
      <c r="K4486" s="849"/>
      <c r="L4486" s="850"/>
      <c r="M4486" s="419"/>
      <c r="N4486" s="1603"/>
      <c r="O4486" s="43"/>
      <c r="P4486" s="672"/>
      <c r="Q4486" s="671"/>
      <c r="R4486" s="673"/>
    </row>
    <row r="4487" spans="1:18" ht="30" customHeight="1" x14ac:dyDescent="0.25">
      <c r="A4487" s="217" t="s">
        <v>546</v>
      </c>
      <c r="B4487" s="218"/>
      <c r="C4487" s="219"/>
      <c r="D4487" s="386" t="s">
        <v>2803</v>
      </c>
      <c r="E4487" s="849"/>
      <c r="F4487" s="849"/>
      <c r="G4487" s="849"/>
      <c r="H4487" s="849"/>
      <c r="I4487" s="849"/>
      <c r="J4487" s="849"/>
      <c r="K4487" s="849"/>
      <c r="L4487" s="850"/>
      <c r="M4487" s="419"/>
      <c r="N4487" s="1603"/>
      <c r="O4487" s="43"/>
      <c r="P4487" s="672"/>
      <c r="Q4487" s="671"/>
      <c r="R4487" s="673"/>
    </row>
    <row r="4488" spans="1:18" s="128" customFormat="1" ht="30" customHeight="1" x14ac:dyDescent="0.25">
      <c r="A4488" s="217" t="s">
        <v>548</v>
      </c>
      <c r="B4488" s="218"/>
      <c r="C4488" s="219"/>
      <c r="D4488" s="386" t="s">
        <v>2797</v>
      </c>
      <c r="E4488" s="849"/>
      <c r="F4488" s="849"/>
      <c r="G4488" s="849"/>
      <c r="H4488" s="849"/>
      <c r="I4488" s="849"/>
      <c r="J4488" s="849"/>
      <c r="K4488" s="849"/>
      <c r="L4488" s="850"/>
      <c r="M4488" s="419"/>
      <c r="N4488" s="1603"/>
      <c r="P4488" s="713"/>
      <c r="Q4488" s="712"/>
      <c r="R4488" s="714"/>
    </row>
    <row r="4489" spans="1:18" s="128" customFormat="1" ht="30" customHeight="1" x14ac:dyDescent="0.25">
      <c r="A4489" s="217" t="s">
        <v>550</v>
      </c>
      <c r="B4489" s="218"/>
      <c r="C4489" s="219"/>
      <c r="D4489" s="386" t="s">
        <v>2441</v>
      </c>
      <c r="E4489" s="849"/>
      <c r="F4489" s="849"/>
      <c r="G4489" s="849"/>
      <c r="H4489" s="849"/>
      <c r="I4489" s="849"/>
      <c r="J4489" s="849"/>
      <c r="K4489" s="849"/>
      <c r="L4489" s="850"/>
      <c r="M4489" s="419"/>
      <c r="N4489" s="1603"/>
      <c r="P4489" s="713"/>
      <c r="Q4489" s="712"/>
      <c r="R4489" s="714"/>
    </row>
    <row r="4490" spans="1:18" s="128" customFormat="1" ht="30" customHeight="1" x14ac:dyDescent="0.25">
      <c r="A4490" s="217" t="s">
        <v>552</v>
      </c>
      <c r="B4490" s="218"/>
      <c r="C4490" s="219"/>
      <c r="D4490" s="386" t="s">
        <v>2692</v>
      </c>
      <c r="E4490" s="849"/>
      <c r="F4490" s="849"/>
      <c r="G4490" s="849"/>
      <c r="H4490" s="849"/>
      <c r="I4490" s="849"/>
      <c r="J4490" s="849"/>
      <c r="K4490" s="849"/>
      <c r="L4490" s="850"/>
      <c r="M4490" s="419"/>
      <c r="N4490" s="1603"/>
      <c r="P4490" s="713"/>
      <c r="Q4490" s="712"/>
      <c r="R4490" s="714"/>
    </row>
    <row r="4491" spans="1:18" s="128" customFormat="1" ht="30" customHeight="1" x14ac:dyDescent="0.25">
      <c r="A4491" s="217" t="s">
        <v>553</v>
      </c>
      <c r="B4491" s="218"/>
      <c r="C4491" s="219"/>
      <c r="D4491" s="386" t="s">
        <v>554</v>
      </c>
      <c r="E4491" s="849"/>
      <c r="F4491" s="849"/>
      <c r="G4491" s="849"/>
      <c r="H4491" s="849"/>
      <c r="I4491" s="849"/>
      <c r="J4491" s="849"/>
      <c r="K4491" s="849"/>
      <c r="L4491" s="850"/>
      <c r="M4491" s="425"/>
      <c r="N4491" s="1603"/>
      <c r="P4491" s="713"/>
      <c r="Q4491" s="712"/>
      <c r="R4491" s="714"/>
    </row>
    <row r="4492" spans="1:18" s="128" customFormat="1" ht="48.75" customHeight="1" thickBot="1" x14ac:dyDescent="0.3">
      <c r="A4492" s="1282" t="s">
        <v>556</v>
      </c>
      <c r="B4492" s="1283"/>
      <c r="C4492" s="1284"/>
      <c r="D4492" s="386" t="s">
        <v>2804</v>
      </c>
      <c r="E4492" s="849"/>
      <c r="F4492" s="849"/>
      <c r="G4492" s="849"/>
      <c r="H4492" s="849"/>
      <c r="I4492" s="849"/>
      <c r="J4492" s="849"/>
      <c r="K4492" s="849"/>
      <c r="L4492" s="850"/>
      <c r="M4492" s="419"/>
      <c r="N4492" s="1603"/>
      <c r="P4492" s="713"/>
      <c r="Q4492" s="712"/>
      <c r="R4492" s="714"/>
    </row>
    <row r="4493" spans="1:18" s="128" customFormat="1" ht="30" customHeight="1" thickBot="1" x14ac:dyDescent="0.3">
      <c r="A4493" s="76"/>
      <c r="B4493" s="77"/>
      <c r="C4493" s="77"/>
      <c r="D4493" s="77"/>
      <c r="E4493" s="77"/>
      <c r="F4493" s="77"/>
      <c r="G4493" s="77"/>
      <c r="H4493" s="77"/>
      <c r="I4493" s="77"/>
      <c r="J4493" s="77"/>
      <c r="K4493" s="77"/>
      <c r="L4493" s="78"/>
      <c r="M4493" s="670"/>
      <c r="N4493" s="1603"/>
      <c r="P4493" s="713"/>
      <c r="Q4493" s="712"/>
      <c r="R4493" s="714"/>
    </row>
    <row r="4494" spans="1:18" s="128" customFormat="1" ht="30" customHeight="1" x14ac:dyDescent="0.25">
      <c r="A4494" s="306" t="s">
        <v>288</v>
      </c>
      <c r="B4494" s="418">
        <v>8526</v>
      </c>
      <c r="C4494" s="1253" t="s">
        <v>2805</v>
      </c>
      <c r="D4494" s="748"/>
      <c r="E4494" s="540" t="s">
        <v>291</v>
      </c>
      <c r="F4494" s="541" t="s">
        <v>3</v>
      </c>
      <c r="G4494" s="123" t="s">
        <v>375</v>
      </c>
      <c r="H4494" s="600">
        <v>1123</v>
      </c>
      <c r="I4494" s="540" t="s">
        <v>292</v>
      </c>
      <c r="J4494" s="38" t="s">
        <v>883</v>
      </c>
      <c r="K4494" s="38"/>
      <c r="L4494" s="389"/>
      <c r="M4494" s="670"/>
      <c r="N4494" s="1603"/>
      <c r="P4494" s="713"/>
      <c r="Q4494" s="712"/>
      <c r="R4494" s="714"/>
    </row>
    <row r="4495" spans="1:18" s="128" customFormat="1" ht="30" customHeight="1" x14ac:dyDescent="0.25">
      <c r="A4495" s="695" t="s">
        <v>529</v>
      </c>
      <c r="B4495" s="543" t="s">
        <v>560</v>
      </c>
      <c r="C4495" s="544"/>
      <c r="D4495" s="545"/>
      <c r="E4495" s="546" t="s">
        <v>519</v>
      </c>
      <c r="F4495" s="546" t="s">
        <v>561</v>
      </c>
      <c r="G4495" s="547" t="s">
        <v>562</v>
      </c>
      <c r="H4495" s="548"/>
      <c r="I4495" s="424" t="s">
        <v>530</v>
      </c>
      <c r="J4495" s="424"/>
      <c r="K4495" s="493" t="s">
        <v>521</v>
      </c>
      <c r="L4495" s="494"/>
      <c r="M4495" s="419"/>
      <c r="N4495" s="671"/>
      <c r="P4495" s="713"/>
      <c r="Q4495" s="712"/>
      <c r="R4495" s="714"/>
    </row>
    <row r="4496" spans="1:18" s="128" customFormat="1" ht="30" customHeight="1" x14ac:dyDescent="0.25">
      <c r="A4496" s="24" t="s">
        <v>773</v>
      </c>
      <c r="B4496" s="323" t="s">
        <v>2774</v>
      </c>
      <c r="C4496" s="324"/>
      <c r="D4496" s="325"/>
      <c r="E4496" s="696">
        <v>81.5</v>
      </c>
      <c r="F4496" s="1595" t="s">
        <v>2775</v>
      </c>
      <c r="G4496" s="697">
        <v>35</v>
      </c>
      <c r="H4496" s="1614" t="s">
        <v>2806</v>
      </c>
      <c r="I4496" s="10">
        <v>1.04</v>
      </c>
      <c r="J4496" s="10"/>
      <c r="K4496" s="1615">
        <f>+E4496/G4496*I4496</f>
        <v>2.4217142857142862</v>
      </c>
      <c r="L4496" s="5" t="s">
        <v>3</v>
      </c>
      <c r="M4496" s="419"/>
      <c r="N4496" s="671"/>
      <c r="P4496" s="713"/>
      <c r="Q4496" s="712"/>
      <c r="R4496" s="714"/>
    </row>
    <row r="4497" spans="1:18" s="128" customFormat="1" ht="30" customHeight="1" x14ac:dyDescent="0.25">
      <c r="A4497" s="24" t="s">
        <v>773</v>
      </c>
      <c r="B4497" s="323" t="s">
        <v>2777</v>
      </c>
      <c r="C4497" s="324"/>
      <c r="D4497" s="325"/>
      <c r="E4497" s="700">
        <v>165</v>
      </c>
      <c r="F4497" s="1595" t="s">
        <v>2775</v>
      </c>
      <c r="G4497" s="697">
        <v>35</v>
      </c>
      <c r="H4497" s="1614" t="s">
        <v>2806</v>
      </c>
      <c r="I4497" s="10">
        <v>1.04</v>
      </c>
      <c r="J4497" s="10"/>
      <c r="K4497" s="1615">
        <f>+E4497/G4497*I4497</f>
        <v>4.902857142857143</v>
      </c>
      <c r="L4497" s="5" t="s">
        <v>3</v>
      </c>
      <c r="M4497" s="419"/>
      <c r="N4497" s="1603"/>
      <c r="P4497" s="713"/>
      <c r="Q4497" s="712"/>
      <c r="R4497" s="714"/>
    </row>
    <row r="4498" spans="1:18" s="128" customFormat="1" ht="30" customHeight="1" x14ac:dyDescent="0.25">
      <c r="A4498" s="24" t="s">
        <v>773</v>
      </c>
      <c r="B4498" s="13" t="s">
        <v>2807</v>
      </c>
      <c r="C4498" s="570"/>
      <c r="D4498" s="571"/>
      <c r="E4498" s="700">
        <v>715</v>
      </c>
      <c r="F4498" s="1595" t="s">
        <v>2775</v>
      </c>
      <c r="G4498" s="697">
        <v>35</v>
      </c>
      <c r="H4498" s="1614" t="s">
        <v>2806</v>
      </c>
      <c r="I4498" s="10">
        <v>1.04</v>
      </c>
      <c r="J4498" s="10"/>
      <c r="K4498" s="1615">
        <f>+E4498/G4498*I4498</f>
        <v>21.245714285714286</v>
      </c>
      <c r="L4498" s="5" t="s">
        <v>3</v>
      </c>
      <c r="M4498" s="419"/>
      <c r="N4498" s="1603"/>
      <c r="P4498" s="713"/>
      <c r="Q4498" s="712"/>
      <c r="R4498" s="714"/>
    </row>
    <row r="4499" spans="1:18" s="128" customFormat="1" ht="30" customHeight="1" x14ac:dyDescent="0.25">
      <c r="A4499" s="64"/>
      <c r="B4499" s="551" t="s">
        <v>2808</v>
      </c>
      <c r="C4499" s="551"/>
      <c r="D4499" s="551"/>
      <c r="E4499" s="326"/>
      <c r="F4499" s="10"/>
      <c r="G4499" s="1254" t="s">
        <v>2809</v>
      </c>
      <c r="H4499" s="1255"/>
      <c r="I4499" s="842"/>
      <c r="J4499" s="10" t="s">
        <v>578</v>
      </c>
      <c r="K4499" s="1616">
        <f>SUM(K4496:K4498)</f>
        <v>28.570285714285717</v>
      </c>
      <c r="L4499" s="10" t="s">
        <v>3</v>
      </c>
      <c r="M4499" s="419"/>
      <c r="N4499" s="1603"/>
      <c r="P4499" s="713"/>
      <c r="Q4499" s="712"/>
      <c r="R4499" s="714"/>
    </row>
    <row r="4500" spans="1:18" s="128" customFormat="1" ht="30" customHeight="1" x14ac:dyDescent="0.25">
      <c r="A4500" s="61"/>
      <c r="B4500" s="410"/>
      <c r="C4500" s="410"/>
      <c r="D4500" s="410"/>
      <c r="E4500" s="405"/>
      <c r="F4500" s="338" t="s">
        <v>533</v>
      </c>
      <c r="G4500" s="339" t="s">
        <v>534</v>
      </c>
      <c r="H4500" s="339"/>
      <c r="I4500" s="339"/>
      <c r="J4500" s="339"/>
      <c r="K4500" s="340">
        <v>1.07</v>
      </c>
      <c r="L4500" s="10"/>
      <c r="M4500" s="419"/>
      <c r="N4500" s="1603"/>
      <c r="P4500" s="713"/>
      <c r="Q4500" s="712"/>
      <c r="R4500" s="714"/>
    </row>
    <row r="4501" spans="1:18" s="128" customFormat="1" ht="30" customHeight="1" x14ac:dyDescent="0.25">
      <c r="A4501" s="61"/>
      <c r="B4501" s="410"/>
      <c r="C4501" s="410"/>
      <c r="D4501" s="410"/>
      <c r="E4501" s="405"/>
      <c r="F4501" s="343"/>
      <c r="G4501" s="344" t="s">
        <v>535</v>
      </c>
      <c r="H4501" s="344"/>
      <c r="I4501" s="344"/>
      <c r="J4501" s="344"/>
      <c r="K4501" s="340">
        <v>1.02</v>
      </c>
      <c r="L4501" s="10"/>
      <c r="M4501" s="419"/>
      <c r="N4501" s="1603"/>
      <c r="P4501" s="713"/>
      <c r="Q4501" s="712"/>
      <c r="R4501" s="714"/>
    </row>
    <row r="4502" spans="1:18" s="1533" customFormat="1" ht="30" customHeight="1" x14ac:dyDescent="0.25">
      <c r="A4502" s="64"/>
      <c r="B4502" s="1254"/>
      <c r="C4502" s="1255"/>
      <c r="D4502" s="1256"/>
      <c r="E4502" s="13"/>
      <c r="F4502" s="13"/>
      <c r="G4502" s="13"/>
      <c r="H4502" s="13"/>
      <c r="I4502" s="13"/>
      <c r="J4502" s="10" t="s">
        <v>358</v>
      </c>
      <c r="K4502" s="1616">
        <f>+K4499*K4500/K4501</f>
        <v>29.970789915966392</v>
      </c>
      <c r="L4502" s="10" t="s">
        <v>3</v>
      </c>
      <c r="M4502" s="419"/>
      <c r="N4502" s="1603"/>
      <c r="P4502" s="713"/>
      <c r="Q4502" s="712"/>
      <c r="R4502" s="714"/>
    </row>
    <row r="4503" spans="1:18" s="128" customFormat="1" ht="30" customHeight="1" x14ac:dyDescent="0.25">
      <c r="A4503" s="64"/>
      <c r="B4503" s="355"/>
      <c r="C4503" s="352"/>
      <c r="D4503" s="352"/>
      <c r="E4503" s="13"/>
      <c r="F4503" s="13"/>
      <c r="G4503" s="573" t="s">
        <v>652</v>
      </c>
      <c r="H4503" s="13"/>
      <c r="I4503" s="13"/>
      <c r="J4503" s="361">
        <f>VLOOKUP(B4494,'Mil Cost Premiums for RUCs'!$A$4:$R$265,18,FALSE)</f>
        <v>1.0905505199999999</v>
      </c>
      <c r="K4503" s="1616">
        <f>+K4502*J4503</f>
        <v>32.684660527667901</v>
      </c>
      <c r="L4503" s="10" t="s">
        <v>3</v>
      </c>
      <c r="M4503" s="419"/>
      <c r="N4503" s="1603"/>
      <c r="P4503" s="713"/>
      <c r="Q4503" s="712"/>
      <c r="R4503" s="714"/>
    </row>
    <row r="4504" spans="1:18" ht="75" customHeight="1" x14ac:dyDescent="0.25">
      <c r="A4504" s="580" t="s">
        <v>538</v>
      </c>
      <c r="B4504" s="532"/>
      <c r="C4504" s="532"/>
      <c r="D4504" s="532"/>
      <c r="E4504" s="532"/>
      <c r="F4504" s="532"/>
      <c r="G4504" s="532"/>
      <c r="H4504" s="532"/>
      <c r="I4504" s="532"/>
      <c r="J4504" s="532"/>
      <c r="K4504" s="532"/>
      <c r="L4504" s="533"/>
      <c r="M4504" s="419"/>
      <c r="N4504" s="1603"/>
      <c r="O4504" s="43"/>
      <c r="P4504" s="672"/>
      <c r="Q4504" s="671"/>
      <c r="R4504" s="673"/>
    </row>
    <row r="4505" spans="1:18" ht="30" customHeight="1" x14ac:dyDescent="0.25">
      <c r="A4505" s="217" t="s">
        <v>539</v>
      </c>
      <c r="B4505" s="218"/>
      <c r="C4505" s="219"/>
      <c r="D4505" s="386" t="s">
        <v>2810</v>
      </c>
      <c r="E4505" s="849"/>
      <c r="F4505" s="849"/>
      <c r="G4505" s="849"/>
      <c r="H4505" s="849"/>
      <c r="I4505" s="849"/>
      <c r="J4505" s="849"/>
      <c r="K4505" s="849"/>
      <c r="L4505" s="850"/>
      <c r="M4505" s="419"/>
      <c r="N4505" s="1603"/>
      <c r="O4505" s="43"/>
      <c r="P4505" s="672"/>
      <c r="Q4505" s="671"/>
      <c r="R4505" s="673"/>
    </row>
    <row r="4506" spans="1:18" s="128" customFormat="1" ht="30" customHeight="1" x14ac:dyDescent="0.25">
      <c r="A4506" s="217" t="s">
        <v>541</v>
      </c>
      <c r="B4506" s="218"/>
      <c r="C4506" s="219"/>
      <c r="D4506" s="386" t="s">
        <v>2811</v>
      </c>
      <c r="E4506" s="849"/>
      <c r="F4506" s="849"/>
      <c r="G4506" s="849"/>
      <c r="H4506" s="849"/>
      <c r="I4506" s="849"/>
      <c r="J4506" s="849"/>
      <c r="K4506" s="849"/>
      <c r="L4506" s="850"/>
      <c r="M4506" s="419"/>
      <c r="N4506" s="1603"/>
      <c r="P4506" s="713"/>
      <c r="Q4506" s="712"/>
      <c r="R4506" s="714"/>
    </row>
    <row r="4507" spans="1:18" s="128" customFormat="1" ht="30" customHeight="1" x14ac:dyDescent="0.25">
      <c r="A4507" s="217" t="s">
        <v>543</v>
      </c>
      <c r="B4507" s="218"/>
      <c r="C4507" s="219"/>
      <c r="D4507" s="386" t="s">
        <v>2812</v>
      </c>
      <c r="E4507" s="849"/>
      <c r="F4507" s="849"/>
      <c r="G4507" s="849"/>
      <c r="H4507" s="849"/>
      <c r="I4507" s="849"/>
      <c r="J4507" s="849"/>
      <c r="K4507" s="849"/>
      <c r="L4507" s="850"/>
      <c r="M4507" s="419"/>
      <c r="N4507" s="1603"/>
      <c r="P4507" s="713"/>
      <c r="Q4507" s="712"/>
      <c r="R4507" s="714"/>
    </row>
    <row r="4508" spans="1:18" s="128" customFormat="1" ht="30" customHeight="1" x14ac:dyDescent="0.25">
      <c r="A4508" s="217" t="s">
        <v>546</v>
      </c>
      <c r="B4508" s="218"/>
      <c r="C4508" s="219"/>
      <c r="D4508" s="386" t="s">
        <v>2813</v>
      </c>
      <c r="E4508" s="849"/>
      <c r="F4508" s="849"/>
      <c r="G4508" s="849"/>
      <c r="H4508" s="849"/>
      <c r="I4508" s="849"/>
      <c r="J4508" s="849"/>
      <c r="K4508" s="849"/>
      <c r="L4508" s="850"/>
      <c r="M4508" s="419"/>
      <c r="N4508" s="1603"/>
      <c r="P4508" s="713"/>
      <c r="Q4508" s="712"/>
      <c r="R4508" s="714"/>
    </row>
    <row r="4509" spans="1:18" s="128" customFormat="1" ht="30" customHeight="1" x14ac:dyDescent="0.25">
      <c r="A4509" s="217" t="s">
        <v>548</v>
      </c>
      <c r="B4509" s="218"/>
      <c r="C4509" s="219"/>
      <c r="D4509" s="386" t="s">
        <v>2814</v>
      </c>
      <c r="E4509" s="849"/>
      <c r="F4509" s="849"/>
      <c r="G4509" s="849"/>
      <c r="H4509" s="849"/>
      <c r="I4509" s="849"/>
      <c r="J4509" s="849"/>
      <c r="K4509" s="849"/>
      <c r="L4509" s="850"/>
      <c r="M4509" s="425"/>
      <c r="N4509" s="1603"/>
      <c r="P4509" s="713"/>
      <c r="Q4509" s="712"/>
      <c r="R4509" s="714"/>
    </row>
    <row r="4510" spans="1:18" s="128" customFormat="1" ht="30" customHeight="1" x14ac:dyDescent="0.25">
      <c r="A4510" s="217" t="s">
        <v>550</v>
      </c>
      <c r="B4510" s="218"/>
      <c r="C4510" s="219"/>
      <c r="D4510" s="386" t="s">
        <v>2441</v>
      </c>
      <c r="E4510" s="849"/>
      <c r="F4510" s="849"/>
      <c r="G4510" s="849"/>
      <c r="H4510" s="849"/>
      <c r="I4510" s="849"/>
      <c r="J4510" s="849"/>
      <c r="K4510" s="849"/>
      <c r="L4510" s="850"/>
      <c r="M4510" s="419"/>
      <c r="N4510" s="1603"/>
      <c r="P4510" s="713"/>
      <c r="Q4510" s="712"/>
      <c r="R4510" s="714"/>
    </row>
    <row r="4511" spans="1:18" s="128" customFormat="1" ht="30" customHeight="1" x14ac:dyDescent="0.25">
      <c r="A4511" s="217" t="s">
        <v>552</v>
      </c>
      <c r="B4511" s="218"/>
      <c r="C4511" s="219"/>
      <c r="D4511" s="386" t="s">
        <v>2815</v>
      </c>
      <c r="E4511" s="849"/>
      <c r="F4511" s="849"/>
      <c r="G4511" s="849"/>
      <c r="H4511" s="849"/>
      <c r="I4511" s="849"/>
      <c r="J4511" s="849"/>
      <c r="K4511" s="849"/>
      <c r="L4511" s="850"/>
      <c r="M4511" s="670"/>
      <c r="N4511" s="1603"/>
      <c r="P4511" s="713"/>
      <c r="Q4511" s="712"/>
      <c r="R4511" s="714"/>
    </row>
    <row r="4512" spans="1:18" s="128" customFormat="1" ht="30" customHeight="1" x14ac:dyDescent="0.25">
      <c r="A4512" s="217" t="s">
        <v>553</v>
      </c>
      <c r="B4512" s="218"/>
      <c r="C4512" s="219"/>
      <c r="D4512" s="386" t="s">
        <v>554</v>
      </c>
      <c r="E4512" s="849"/>
      <c r="F4512" s="849"/>
      <c r="G4512" s="849"/>
      <c r="H4512" s="849"/>
      <c r="I4512" s="849"/>
      <c r="J4512" s="849"/>
      <c r="K4512" s="849"/>
      <c r="L4512" s="850"/>
      <c r="M4512" s="670"/>
      <c r="N4512" s="1603"/>
      <c r="P4512" s="713"/>
      <c r="Q4512" s="712"/>
      <c r="R4512" s="714"/>
    </row>
    <row r="4513" spans="1:18" s="556" customFormat="1" ht="64.5" customHeight="1" thickBot="1" x14ac:dyDescent="0.3">
      <c r="A4513" s="1014" t="s">
        <v>556</v>
      </c>
      <c r="B4513" s="1015"/>
      <c r="C4513" s="1016"/>
      <c r="D4513" s="386" t="s">
        <v>3406</v>
      </c>
      <c r="E4513" s="849"/>
      <c r="F4513" s="849"/>
      <c r="G4513" s="849"/>
      <c r="H4513" s="849"/>
      <c r="I4513" s="849"/>
      <c r="J4513" s="849"/>
      <c r="K4513" s="849"/>
      <c r="L4513" s="850"/>
      <c r="M4513" s="419"/>
      <c r="N4513" s="671"/>
      <c r="P4513" s="1617"/>
      <c r="Q4513" s="1603"/>
      <c r="R4513" s="1618"/>
    </row>
    <row r="4514" spans="1:18" s="128" customFormat="1" ht="30" customHeight="1" thickBot="1" x14ac:dyDescent="0.3">
      <c r="A4514" s="76"/>
      <c r="B4514" s="77"/>
      <c r="C4514" s="77"/>
      <c r="D4514" s="77"/>
      <c r="E4514" s="77"/>
      <c r="F4514" s="77"/>
      <c r="G4514" s="77"/>
      <c r="H4514" s="77"/>
      <c r="I4514" s="77"/>
      <c r="J4514" s="77"/>
      <c r="K4514" s="77"/>
      <c r="L4514" s="78"/>
      <c r="M4514" s="419"/>
      <c r="N4514" s="671"/>
      <c r="P4514" s="713"/>
      <c r="Q4514" s="712"/>
      <c r="R4514" s="714"/>
    </row>
    <row r="4515" spans="1:18" s="128" customFormat="1" ht="30" customHeight="1" x14ac:dyDescent="0.25">
      <c r="A4515" s="30" t="s">
        <v>288</v>
      </c>
      <c r="B4515" s="31">
        <v>8531</v>
      </c>
      <c r="C4515" s="484" t="s">
        <v>2816</v>
      </c>
      <c r="D4515" s="485"/>
      <c r="E4515" s="177" t="s">
        <v>291</v>
      </c>
      <c r="F4515" s="178" t="s">
        <v>9</v>
      </c>
      <c r="G4515" s="123" t="s">
        <v>375</v>
      </c>
      <c r="H4515" s="761">
        <v>40704</v>
      </c>
      <c r="I4515" s="177" t="s">
        <v>292</v>
      </c>
      <c r="J4515" s="38" t="s">
        <v>516</v>
      </c>
      <c r="K4515" s="39"/>
      <c r="L4515" s="40"/>
      <c r="M4515" s="419"/>
      <c r="N4515" s="1603"/>
      <c r="P4515" s="713"/>
      <c r="Q4515" s="712"/>
      <c r="R4515" s="714"/>
    </row>
    <row r="4516" spans="1:18" s="128" customFormat="1" ht="30" customHeight="1" x14ac:dyDescent="0.25">
      <c r="A4516" s="44" t="s">
        <v>517</v>
      </c>
      <c r="B4516" s="45" t="s">
        <v>295</v>
      </c>
      <c r="C4516" s="45"/>
      <c r="D4516" s="45"/>
      <c r="E4516" s="182" t="s">
        <v>518</v>
      </c>
      <c r="F4516" s="285" t="s">
        <v>519</v>
      </c>
      <c r="G4516" s="181"/>
      <c r="H4516" s="181"/>
      <c r="I4516" s="286" t="s">
        <v>520</v>
      </c>
      <c r="J4516" s="287"/>
      <c r="K4516" s="493" t="s">
        <v>521</v>
      </c>
      <c r="L4516" s="494"/>
      <c r="M4516" s="419"/>
      <c r="N4516" s="1603"/>
      <c r="P4516" s="713"/>
      <c r="Q4516" s="712"/>
      <c r="R4516" s="714"/>
    </row>
    <row r="4517" spans="1:18" s="128" customFormat="1" ht="30" customHeight="1" x14ac:dyDescent="0.25">
      <c r="A4517" s="65" t="s">
        <v>522</v>
      </c>
      <c r="B4517" s="52" t="s">
        <v>2816</v>
      </c>
      <c r="C4517" s="52"/>
      <c r="D4517" s="52"/>
      <c r="E4517" s="291">
        <v>150000</v>
      </c>
      <c r="F4517" s="292">
        <v>54</v>
      </c>
      <c r="G4517" s="293"/>
      <c r="H4517" s="294"/>
      <c r="I4517" s="295" t="s">
        <v>524</v>
      </c>
      <c r="J4517" s="296"/>
      <c r="K4517" s="292">
        <f>+F4517</f>
        <v>54</v>
      </c>
      <c r="L4517" s="290" t="s">
        <v>9</v>
      </c>
      <c r="M4517" s="419"/>
      <c r="N4517" s="1603"/>
      <c r="P4517" s="713"/>
      <c r="Q4517" s="712"/>
      <c r="R4517" s="714"/>
    </row>
    <row r="4518" spans="1:18" s="128" customFormat="1" ht="30" customHeight="1" thickBot="1" x14ac:dyDescent="0.3">
      <c r="A4518" s="61"/>
      <c r="B4518" s="192"/>
      <c r="C4518" s="192"/>
      <c r="D4518" s="192"/>
      <c r="E4518" s="297"/>
      <c r="F4518" s="298"/>
      <c r="G4518" s="298"/>
      <c r="H4518" s="299"/>
      <c r="I4518" s="18"/>
      <c r="J4518" s="185" t="s">
        <v>358</v>
      </c>
      <c r="K4518" s="301">
        <f>+K4517</f>
        <v>54</v>
      </c>
      <c r="L4518" s="20" t="s">
        <v>9</v>
      </c>
      <c r="M4518" s="419"/>
      <c r="N4518" s="1603"/>
      <c r="P4518" s="713"/>
      <c r="Q4518" s="712"/>
      <c r="R4518" s="714"/>
    </row>
    <row r="4519" spans="1:18" s="128" customFormat="1" ht="30" customHeight="1" thickBot="1" x14ac:dyDescent="0.3">
      <c r="A4519" s="76"/>
      <c r="B4519" s="77"/>
      <c r="C4519" s="77"/>
      <c r="D4519" s="77"/>
      <c r="E4519" s="77"/>
      <c r="F4519" s="77"/>
      <c r="G4519" s="77"/>
      <c r="H4519" s="77"/>
      <c r="I4519" s="77"/>
      <c r="J4519" s="77"/>
      <c r="K4519" s="77"/>
      <c r="L4519" s="78"/>
      <c r="M4519" s="419"/>
      <c r="N4519" s="1603"/>
      <c r="P4519" s="713"/>
      <c r="Q4519" s="712"/>
      <c r="R4519" s="714"/>
    </row>
    <row r="4520" spans="1:18" s="1533" customFormat="1" ht="30" customHeight="1" x14ac:dyDescent="0.25">
      <c r="A4520" s="30" t="s">
        <v>288</v>
      </c>
      <c r="B4520" s="31">
        <v>8541</v>
      </c>
      <c r="C4520" s="484" t="s">
        <v>2817</v>
      </c>
      <c r="D4520" s="485"/>
      <c r="E4520" s="36" t="s">
        <v>291</v>
      </c>
      <c r="F4520" s="37" t="s">
        <v>11</v>
      </c>
      <c r="G4520" s="465" t="s">
        <v>290</v>
      </c>
      <c r="H4520" s="1425">
        <v>1</v>
      </c>
      <c r="I4520" s="36" t="s">
        <v>292</v>
      </c>
      <c r="J4520" s="38" t="s">
        <v>2818</v>
      </c>
      <c r="K4520" s="39"/>
      <c r="L4520" s="40"/>
      <c r="M4520" s="419"/>
      <c r="N4520" s="1603"/>
      <c r="P4520" s="713"/>
      <c r="Q4520" s="712"/>
      <c r="R4520" s="714"/>
    </row>
    <row r="4521" spans="1:18" s="128" customFormat="1" ht="30" customHeight="1" x14ac:dyDescent="0.25">
      <c r="A4521" s="44"/>
      <c r="B4521" s="45" t="s">
        <v>295</v>
      </c>
      <c r="C4521" s="45"/>
      <c r="D4521" s="45"/>
      <c r="E4521" s="44" t="s">
        <v>821</v>
      </c>
      <c r="F4521" s="46" t="s">
        <v>2</v>
      </c>
      <c r="G4521" s="1533"/>
      <c r="H4521" s="316" t="s">
        <v>569</v>
      </c>
      <c r="I4521" s="286" t="s">
        <v>3387</v>
      </c>
      <c r="J4521" s="287"/>
      <c r="K4521" s="493" t="s">
        <v>521</v>
      </c>
      <c r="L4521" s="494"/>
      <c r="M4521" s="419"/>
      <c r="N4521" s="1603"/>
      <c r="P4521" s="713"/>
      <c r="Q4521" s="712"/>
      <c r="R4521" s="714"/>
    </row>
    <row r="4522" spans="1:18" s="128" customFormat="1" ht="30" customHeight="1" x14ac:dyDescent="0.25">
      <c r="A4522" s="51"/>
      <c r="B4522" s="1619" t="s">
        <v>2817</v>
      </c>
      <c r="C4522" s="1619"/>
      <c r="D4522" s="1619"/>
      <c r="E4522" s="98"/>
      <c r="F4522" s="65" t="s">
        <v>2819</v>
      </c>
      <c r="G4522" s="1879"/>
      <c r="H4522" s="1880"/>
      <c r="I4522" s="1485"/>
      <c r="J4522" s="1486"/>
      <c r="K4522" s="98"/>
      <c r="L4522" s="51"/>
      <c r="M4522" s="419"/>
      <c r="N4522" s="1603"/>
      <c r="P4522" s="713"/>
      <c r="Q4522" s="712"/>
      <c r="R4522" s="714"/>
    </row>
    <row r="4523" spans="1:18" s="128" customFormat="1" ht="30" customHeight="1" x14ac:dyDescent="0.25">
      <c r="A4523" s="51"/>
      <c r="B4523" s="1620" t="s">
        <v>2820</v>
      </c>
      <c r="C4523" s="1045"/>
      <c r="D4523" s="1046"/>
      <c r="E4523" s="1621">
        <v>454500</v>
      </c>
      <c r="F4523" s="51">
        <v>1</v>
      </c>
      <c r="G4523" s="13"/>
      <c r="H4523" s="973">
        <v>0.89</v>
      </c>
      <c r="I4523" s="295">
        <f>+'MILCON Inflation Table'!F12</f>
        <v>1.0795163710175624</v>
      </c>
      <c r="J4523" s="296"/>
      <c r="K4523" s="98">
        <f>+E4523/H4523*I4523</f>
        <v>551281.11306458665</v>
      </c>
      <c r="L4523" s="51" t="s">
        <v>11</v>
      </c>
      <c r="M4523" s="419"/>
      <c r="N4523" s="1603"/>
      <c r="P4523" s="713"/>
      <c r="Q4523" s="712"/>
      <c r="R4523" s="714"/>
    </row>
    <row r="4524" spans="1:18" s="128" customFormat="1" ht="30" customHeight="1" x14ac:dyDescent="0.25">
      <c r="A4524" s="51"/>
      <c r="B4524" s="1622" t="s">
        <v>2821</v>
      </c>
      <c r="C4524" s="454"/>
      <c r="D4524" s="455"/>
      <c r="E4524" s="1621">
        <v>321986</v>
      </c>
      <c r="F4524" s="51">
        <v>1</v>
      </c>
      <c r="G4524" s="13"/>
      <c r="H4524" s="1878">
        <v>1</v>
      </c>
      <c r="I4524" s="295">
        <f>+'MILCON Inflation Table'!F12</f>
        <v>1.0795163710175624</v>
      </c>
      <c r="J4524" s="296"/>
      <c r="K4524" s="98">
        <f t="shared" ref="K4524:K4532" si="60">+E4524/H4524*I4524</f>
        <v>347589.15823846083</v>
      </c>
      <c r="L4524" s="51" t="s">
        <v>11</v>
      </c>
      <c r="M4524" s="419"/>
      <c r="N4524" s="1603"/>
      <c r="P4524" s="713"/>
      <c r="Q4524" s="712"/>
      <c r="R4524" s="714"/>
    </row>
    <row r="4525" spans="1:18" ht="30" customHeight="1" x14ac:dyDescent="0.25">
      <c r="A4525" s="51"/>
      <c r="B4525" s="1620" t="s">
        <v>2822</v>
      </c>
      <c r="C4525" s="1045"/>
      <c r="D4525" s="1046"/>
      <c r="E4525" s="1621">
        <v>261930.52</v>
      </c>
      <c r="F4525" s="51">
        <v>1</v>
      </c>
      <c r="G4525" s="13"/>
      <c r="H4525" s="973">
        <v>0.94</v>
      </c>
      <c r="I4525" s="295">
        <f>+'MILCON Inflation Table'!F14</f>
        <v>1</v>
      </c>
      <c r="J4525" s="296"/>
      <c r="K4525" s="98">
        <f t="shared" si="60"/>
        <v>278649.48936170212</v>
      </c>
      <c r="L4525" s="51" t="s">
        <v>11</v>
      </c>
      <c r="M4525" s="419"/>
      <c r="N4525" s="1603"/>
      <c r="O4525" s="43"/>
      <c r="P4525" s="672"/>
      <c r="Q4525" s="671"/>
      <c r="R4525" s="673"/>
    </row>
    <row r="4526" spans="1:18" ht="30" customHeight="1" x14ac:dyDescent="0.25">
      <c r="A4526" s="51"/>
      <c r="B4526" s="1620" t="s">
        <v>2823</v>
      </c>
      <c r="C4526" s="1045"/>
      <c r="D4526" s="1046"/>
      <c r="E4526" s="1621">
        <f>97749+116267+14434</f>
        <v>228450</v>
      </c>
      <c r="F4526" s="51">
        <v>1</v>
      </c>
      <c r="G4526" s="13"/>
      <c r="H4526" s="973">
        <v>1.22</v>
      </c>
      <c r="I4526" s="295">
        <f>+'MILCON Inflation Table'!F14</f>
        <v>1</v>
      </c>
      <c r="J4526" s="296"/>
      <c r="K4526" s="98">
        <f t="shared" si="60"/>
        <v>187254.09836065574</v>
      </c>
      <c r="L4526" s="51" t="s">
        <v>11</v>
      </c>
      <c r="M4526" s="419"/>
      <c r="N4526" s="1603"/>
      <c r="O4526" s="43"/>
      <c r="P4526" s="672"/>
      <c r="Q4526" s="671"/>
      <c r="R4526" s="673"/>
    </row>
    <row r="4527" spans="1:18" s="128" customFormat="1" ht="30" customHeight="1" x14ac:dyDescent="0.25">
      <c r="A4527" s="51"/>
      <c r="B4527" s="1620" t="s">
        <v>2824</v>
      </c>
      <c r="C4527" s="1045"/>
      <c r="D4527" s="1046"/>
      <c r="E4527" s="1621">
        <v>361780</v>
      </c>
      <c r="F4527" s="51">
        <v>1</v>
      </c>
      <c r="G4527" s="13"/>
      <c r="H4527" s="973">
        <v>1.22</v>
      </c>
      <c r="I4527" s="295">
        <f>+'MILCON Inflation Table'!F12</f>
        <v>1.0795163710175624</v>
      </c>
      <c r="J4527" s="296"/>
      <c r="K4527" s="98">
        <f t="shared" si="60"/>
        <v>320120.84648092923</v>
      </c>
      <c r="L4527" s="51" t="s">
        <v>11</v>
      </c>
      <c r="M4527" s="425"/>
      <c r="N4527" s="1603"/>
      <c r="P4527" s="713"/>
      <c r="Q4527" s="712"/>
      <c r="R4527" s="714"/>
    </row>
    <row r="4528" spans="1:18" s="128" customFormat="1" ht="30" customHeight="1" x14ac:dyDescent="0.25">
      <c r="A4528" s="51"/>
      <c r="B4528" s="1620" t="s">
        <v>2825</v>
      </c>
      <c r="C4528" s="1045"/>
      <c r="D4528" s="1046"/>
      <c r="E4528" s="1621">
        <v>246698</v>
      </c>
      <c r="F4528" s="51">
        <v>1</v>
      </c>
      <c r="G4528" s="13"/>
      <c r="H4528" s="973">
        <v>0.87</v>
      </c>
      <c r="I4528" s="295">
        <f>+'MILCON Inflation Table'!F11</f>
        <v>1.1234386480529022</v>
      </c>
      <c r="J4528" s="296"/>
      <c r="K4528" s="98">
        <f t="shared" si="60"/>
        <v>318563.29608891363</v>
      </c>
      <c r="L4528" s="51" t="s">
        <v>11</v>
      </c>
      <c r="M4528" s="419"/>
      <c r="N4528" s="1603"/>
      <c r="P4528" s="713"/>
      <c r="Q4528" s="712"/>
      <c r="R4528" s="714"/>
    </row>
    <row r="4529" spans="1:21" s="128" customFormat="1" ht="30" customHeight="1" x14ac:dyDescent="0.25">
      <c r="A4529" s="51"/>
      <c r="B4529" s="1620" t="s">
        <v>2826</v>
      </c>
      <c r="C4529" s="1045"/>
      <c r="D4529" s="1046"/>
      <c r="E4529" s="1621">
        <v>185433</v>
      </c>
      <c r="F4529" s="51">
        <v>1</v>
      </c>
      <c r="G4529" s="13"/>
      <c r="H4529" s="973">
        <v>0.89</v>
      </c>
      <c r="I4529" s="295">
        <f>+'MILCON Inflation Table'!F14</f>
        <v>1</v>
      </c>
      <c r="J4529" s="296"/>
      <c r="K4529" s="98">
        <f t="shared" si="60"/>
        <v>208351.68539325843</v>
      </c>
      <c r="L4529" s="51" t="s">
        <v>11</v>
      </c>
      <c r="M4529" s="419"/>
      <c r="N4529" s="1603"/>
      <c r="P4529" s="713"/>
      <c r="Q4529" s="712"/>
      <c r="R4529" s="714"/>
    </row>
    <row r="4530" spans="1:21" s="128" customFormat="1" ht="30" customHeight="1" x14ac:dyDescent="0.25">
      <c r="A4530" s="51"/>
      <c r="B4530" s="1620" t="s">
        <v>2827</v>
      </c>
      <c r="C4530" s="1045"/>
      <c r="D4530" s="1046"/>
      <c r="E4530" s="1621">
        <v>276576</v>
      </c>
      <c r="F4530" s="51">
        <v>1</v>
      </c>
      <c r="G4530" s="13"/>
      <c r="H4530" s="973">
        <v>1.1100000000000001</v>
      </c>
      <c r="I4530" s="295">
        <f>+'MILCON Inflation Table'!F11</f>
        <v>1.1234386480529022</v>
      </c>
      <c r="J4530" s="296"/>
      <c r="K4530" s="98">
        <f t="shared" si="60"/>
        <v>279924.47524673824</v>
      </c>
      <c r="L4530" s="51" t="s">
        <v>11</v>
      </c>
      <c r="M4530" s="419"/>
      <c r="N4530" s="1603"/>
      <c r="P4530" s="713"/>
      <c r="Q4530" s="712"/>
      <c r="R4530" s="714"/>
    </row>
    <row r="4531" spans="1:21" s="128" customFormat="1" ht="30" customHeight="1" x14ac:dyDescent="0.25">
      <c r="A4531" s="51"/>
      <c r="B4531" s="1620" t="s">
        <v>2828</v>
      </c>
      <c r="C4531" s="1045"/>
      <c r="D4531" s="1046"/>
      <c r="E4531" s="1621">
        <v>208000</v>
      </c>
      <c r="F4531" s="51">
        <v>1</v>
      </c>
      <c r="G4531" s="13"/>
      <c r="H4531" s="973">
        <v>0.95</v>
      </c>
      <c r="I4531" s="295">
        <f>+'MILCON Inflation Table'!F14</f>
        <v>1</v>
      </c>
      <c r="J4531" s="296"/>
      <c r="K4531" s="98">
        <f t="shared" si="60"/>
        <v>218947.36842105264</v>
      </c>
      <c r="L4531" s="51" t="s">
        <v>11</v>
      </c>
      <c r="M4531" s="419"/>
      <c r="N4531" s="1603"/>
      <c r="P4531" s="713"/>
      <c r="Q4531" s="712"/>
      <c r="R4531" s="714"/>
    </row>
    <row r="4532" spans="1:21" s="128" customFormat="1" ht="30" customHeight="1" x14ac:dyDescent="0.25">
      <c r="A4532" s="51"/>
      <c r="B4532" s="1620" t="s">
        <v>2829</v>
      </c>
      <c r="C4532" s="1045"/>
      <c r="D4532" s="1046"/>
      <c r="E4532" s="1621">
        <v>280707</v>
      </c>
      <c r="F4532" s="51">
        <v>1</v>
      </c>
      <c r="G4532" s="13"/>
      <c r="H4532" s="973">
        <v>0.95</v>
      </c>
      <c r="I4532" s="295">
        <f>+'MILCON Inflation Table'!F14</f>
        <v>1</v>
      </c>
      <c r="J4532" s="296"/>
      <c r="K4532" s="98">
        <f t="shared" si="60"/>
        <v>295481.05263157899</v>
      </c>
      <c r="L4532" s="51" t="s">
        <v>11</v>
      </c>
      <c r="M4532" s="670"/>
      <c r="N4532" s="1603"/>
      <c r="P4532" s="713"/>
      <c r="Q4532" s="712"/>
      <c r="R4532" s="714"/>
    </row>
    <row r="4533" spans="1:21" s="128" customFormat="1" ht="30" customHeight="1" x14ac:dyDescent="0.25">
      <c r="A4533" s="61"/>
      <c r="B4533" s="1623"/>
      <c r="C4533" s="498"/>
      <c r="D4533" s="498"/>
      <c r="E4533" s="88"/>
      <c r="F4533" s="51"/>
      <c r="G4533" s="21"/>
      <c r="H4533" s="63" t="s">
        <v>2830</v>
      </c>
      <c r="I4533" s="18"/>
      <c r="J4533" s="973"/>
      <c r="K4533" s="222">
        <f>AVERAGE(K4523:K4532)</f>
        <v>300616.25832878763</v>
      </c>
      <c r="L4533" s="51" t="s">
        <v>11</v>
      </c>
      <c r="M4533" s="670"/>
      <c r="N4533" s="1603"/>
      <c r="P4533" s="713"/>
      <c r="Q4533" s="712"/>
      <c r="R4533" s="714"/>
    </row>
    <row r="4534" spans="1:21" s="128" customFormat="1" ht="30" customHeight="1" x14ac:dyDescent="0.25">
      <c r="A4534" s="61"/>
      <c r="B4534" s="646"/>
      <c r="C4534" s="646"/>
      <c r="D4534" s="646"/>
      <c r="E4534" s="149"/>
      <c r="F4534" s="1624"/>
      <c r="H4534" s="1624"/>
      <c r="I4534" s="1625" t="s">
        <v>652</v>
      </c>
      <c r="J4534" s="361">
        <f>VLOOKUP(B4520,'Mil Cost Premiums for RUCs'!$A$4:$R$265,18,FALSE)</f>
        <v>1.0905505199999999</v>
      </c>
      <c r="K4534" s="222">
        <f>+K4533*J4534</f>
        <v>327837.21684091364</v>
      </c>
      <c r="L4534" s="61" t="s">
        <v>11</v>
      </c>
      <c r="M4534" s="419"/>
      <c r="N4534" s="671"/>
      <c r="P4534" s="713"/>
      <c r="Q4534" s="712"/>
      <c r="R4534" s="714"/>
    </row>
    <row r="4535" spans="1:21" s="128" customFormat="1" ht="30" customHeight="1" thickBot="1" x14ac:dyDescent="0.3">
      <c r="A4535" s="1626" t="s">
        <v>3409</v>
      </c>
      <c r="B4535" s="1627"/>
      <c r="C4535" s="1627"/>
      <c r="D4535" s="1627"/>
      <c r="E4535" s="1627"/>
      <c r="F4535" s="1627"/>
      <c r="G4535" s="1627"/>
      <c r="H4535" s="1627"/>
      <c r="I4535" s="1627"/>
      <c r="J4535" s="1627"/>
      <c r="K4535" s="1627"/>
      <c r="L4535" s="1628"/>
      <c r="M4535" s="419"/>
      <c r="N4535" s="671"/>
      <c r="P4535" s="713"/>
      <c r="Q4535" s="712"/>
      <c r="R4535" s="714"/>
    </row>
    <row r="4536" spans="1:21" s="128" customFormat="1" ht="30" customHeight="1" thickBot="1" x14ac:dyDescent="0.3">
      <c r="A4536" s="76"/>
      <c r="B4536" s="77"/>
      <c r="C4536" s="77"/>
      <c r="D4536" s="77"/>
      <c r="E4536" s="77"/>
      <c r="F4536" s="77"/>
      <c r="G4536" s="77"/>
      <c r="H4536" s="77"/>
      <c r="I4536" s="77"/>
      <c r="J4536" s="77"/>
      <c r="K4536" s="77"/>
      <c r="L4536" s="78"/>
      <c r="M4536" s="419"/>
      <c r="N4536" s="1603"/>
      <c r="P4536" s="713"/>
      <c r="Q4536" s="712"/>
      <c r="R4536" s="714"/>
    </row>
    <row r="4537" spans="1:21" s="128" customFormat="1" ht="30" customHeight="1" x14ac:dyDescent="0.25">
      <c r="A4537" s="30" t="s">
        <v>288</v>
      </c>
      <c r="B4537" s="31">
        <v>8601</v>
      </c>
      <c r="C4537" s="161" t="s">
        <v>2831</v>
      </c>
      <c r="D4537" s="162"/>
      <c r="E4537" s="177" t="s">
        <v>291</v>
      </c>
      <c r="F4537" s="178" t="s">
        <v>14</v>
      </c>
      <c r="G4537" s="123" t="s">
        <v>375</v>
      </c>
      <c r="H4537" s="1551">
        <v>190</v>
      </c>
      <c r="I4537" s="177" t="s">
        <v>292</v>
      </c>
      <c r="J4537" s="38" t="s">
        <v>883</v>
      </c>
      <c r="K4537" s="38"/>
      <c r="L4537" s="389"/>
      <c r="M4537" s="1342"/>
      <c r="N4537" s="1603"/>
      <c r="P4537" s="713"/>
      <c r="Q4537" s="712"/>
      <c r="R4537" s="714"/>
    </row>
    <row r="4538" spans="1:21" ht="30" customHeight="1" x14ac:dyDescent="0.25">
      <c r="A4538" s="48" t="s">
        <v>529</v>
      </c>
      <c r="B4538" s="490" t="s">
        <v>560</v>
      </c>
      <c r="C4538" s="491"/>
      <c r="D4538" s="492"/>
      <c r="E4538" s="397" t="s">
        <v>519</v>
      </c>
      <c r="F4538" s="397" t="s">
        <v>561</v>
      </c>
      <c r="G4538" s="398" t="s">
        <v>562</v>
      </c>
      <c r="H4538" s="399"/>
      <c r="I4538" s="181" t="s">
        <v>530</v>
      </c>
      <c r="J4538" s="181"/>
      <c r="K4538" s="493" t="s">
        <v>521</v>
      </c>
      <c r="L4538" s="494"/>
      <c r="M4538" s="419"/>
      <c r="N4538" s="1603"/>
      <c r="P4538" s="43"/>
      <c r="Q4538" s="43"/>
      <c r="R4538" s="43"/>
      <c r="S4538" s="60"/>
      <c r="T4538" s="60"/>
      <c r="U4538" s="43"/>
    </row>
    <row r="4539" spans="1:21" ht="30" customHeight="1" x14ac:dyDescent="0.25">
      <c r="A4539" s="61" t="s">
        <v>773</v>
      </c>
      <c r="B4539" s="236" t="s">
        <v>2832</v>
      </c>
      <c r="C4539" s="237"/>
      <c r="D4539" s="238"/>
      <c r="E4539" s="760">
        <f>+(124+155)/2</f>
        <v>139.5</v>
      </c>
      <c r="F4539" s="22" t="s">
        <v>7</v>
      </c>
      <c r="G4539" s="1563">
        <v>5280</v>
      </c>
      <c r="H4539" s="1414" t="s">
        <v>2833</v>
      </c>
      <c r="I4539" s="20">
        <v>1.04</v>
      </c>
      <c r="J4539" s="22"/>
      <c r="K4539" s="23">
        <f>+E4539*G4539*I4539</f>
        <v>766022.4</v>
      </c>
      <c r="L4539" s="22" t="s">
        <v>14</v>
      </c>
      <c r="M4539" s="419"/>
      <c r="N4539" s="1343"/>
      <c r="P4539" s="43"/>
      <c r="Q4539" s="43"/>
      <c r="R4539" s="43"/>
      <c r="S4539" s="60"/>
      <c r="T4539" s="60"/>
      <c r="U4539" s="43"/>
    </row>
    <row r="4540" spans="1:21" s="41" customFormat="1" ht="30" customHeight="1" x14ac:dyDescent="0.25">
      <c r="A4540" s="1334"/>
      <c r="B4540" s="716" t="s">
        <v>2834</v>
      </c>
      <c r="C4540" s="717"/>
      <c r="D4540" s="718"/>
      <c r="E4540" s="405"/>
      <c r="F4540" s="20"/>
      <c r="G4540" s="20"/>
      <c r="H4540" s="20"/>
      <c r="I4540" s="20"/>
      <c r="J4540" s="20"/>
      <c r="K4540" s="405">
        <f>+K4539*0.75</f>
        <v>574516.80000000005</v>
      </c>
      <c r="L4540" s="20" t="s">
        <v>14</v>
      </c>
      <c r="M4540" s="419"/>
      <c r="N4540" s="1603"/>
      <c r="O4540" s="42"/>
    </row>
    <row r="4541" spans="1:21" s="49" customFormat="1" ht="30" customHeight="1" x14ac:dyDescent="0.25">
      <c r="A4541" s="61"/>
      <c r="B4541" s="498"/>
      <c r="C4541" s="498"/>
      <c r="D4541" s="498"/>
      <c r="E4541" s="405"/>
      <c r="F4541" s="338" t="s">
        <v>533</v>
      </c>
      <c r="G4541" s="339" t="s">
        <v>534</v>
      </c>
      <c r="H4541" s="339"/>
      <c r="I4541" s="339"/>
      <c r="J4541" s="339"/>
      <c r="K4541" s="340">
        <v>1.07</v>
      </c>
      <c r="L4541" s="10"/>
      <c r="M4541" s="419"/>
      <c r="N4541" s="1603"/>
      <c r="O4541" s="27"/>
    </row>
    <row r="4542" spans="1:21" ht="30" customHeight="1" x14ac:dyDescent="0.25">
      <c r="A4542" s="61"/>
      <c r="B4542" s="498"/>
      <c r="C4542" s="498"/>
      <c r="D4542" s="498"/>
      <c r="E4542" s="405"/>
      <c r="F4542" s="343"/>
      <c r="G4542" s="344" t="s">
        <v>535</v>
      </c>
      <c r="H4542" s="344"/>
      <c r="I4542" s="344"/>
      <c r="J4542" s="344"/>
      <c r="K4542" s="340">
        <v>1.07</v>
      </c>
      <c r="L4542" s="10"/>
      <c r="M4542" s="419"/>
      <c r="N4542" s="1603"/>
    </row>
    <row r="4543" spans="1:21" ht="30" customHeight="1" x14ac:dyDescent="0.25">
      <c r="A4543" s="61"/>
      <c r="B4543" s="61"/>
      <c r="C4543" s="63"/>
      <c r="D4543" s="63"/>
      <c r="E4543" s="18"/>
      <c r="F4543" s="18"/>
      <c r="G4543" s="18"/>
      <c r="H4543" s="18"/>
      <c r="I4543" s="18"/>
      <c r="J4543" s="20" t="s">
        <v>358</v>
      </c>
      <c r="K4543" s="23">
        <f>+K4540*K4541/K4542</f>
        <v>574516.80000000005</v>
      </c>
      <c r="L4543" s="20" t="s">
        <v>14</v>
      </c>
      <c r="M4543" s="419"/>
      <c r="N4543" s="1603"/>
      <c r="O4543"/>
    </row>
    <row r="4544" spans="1:21" ht="30" customHeight="1" thickBot="1" x14ac:dyDescent="0.3">
      <c r="A4544" s="61"/>
      <c r="B4544" s="61"/>
      <c r="C4544" s="63"/>
      <c r="D4544" s="63"/>
      <c r="E4544" s="18"/>
      <c r="F4544" s="18"/>
      <c r="G4544" s="413" t="s">
        <v>537</v>
      </c>
      <c r="H4544" s="18"/>
      <c r="I4544" s="18"/>
      <c r="J4544" s="361">
        <f>VLOOKUP(B4537,'Mil Cost Premiums for RUCs'!$A$4:$R$265,18,FALSE)</f>
        <v>1.1199953840399997</v>
      </c>
      <c r="K4544" s="23">
        <f>+K4543*J4544</f>
        <v>643456.16405343171</v>
      </c>
      <c r="L4544" s="20" t="s">
        <v>14</v>
      </c>
      <c r="M4544" s="419"/>
      <c r="N4544" s="1603"/>
      <c r="O4544"/>
    </row>
    <row r="4545" spans="1:18" ht="30" customHeight="1" thickBot="1" x14ac:dyDescent="0.3">
      <c r="A4545" s="76"/>
      <c r="B4545" s="77"/>
      <c r="C4545" s="77"/>
      <c r="D4545" s="77"/>
      <c r="E4545" s="77"/>
      <c r="F4545" s="77"/>
      <c r="G4545" s="77"/>
      <c r="H4545" s="77"/>
      <c r="I4545" s="77"/>
      <c r="J4545" s="77"/>
      <c r="K4545" s="77"/>
      <c r="L4545" s="78"/>
      <c r="M4545" s="419"/>
      <c r="N4545" s="1603"/>
      <c r="O4545"/>
    </row>
    <row r="4546" spans="1:18" s="49" customFormat="1" ht="30" customHeight="1" x14ac:dyDescent="0.25">
      <c r="A4546" s="30" t="s">
        <v>288</v>
      </c>
      <c r="B4546" s="31">
        <v>8612</v>
      </c>
      <c r="C4546" s="161" t="s">
        <v>2835</v>
      </c>
      <c r="D4546" s="162"/>
      <c r="E4546" s="36" t="s">
        <v>291</v>
      </c>
      <c r="F4546" s="37" t="s">
        <v>11</v>
      </c>
      <c r="G4546" s="163" t="s">
        <v>290</v>
      </c>
      <c r="H4546" s="164">
        <v>1</v>
      </c>
      <c r="I4546" s="36" t="s">
        <v>292</v>
      </c>
      <c r="J4546" s="38" t="s">
        <v>883</v>
      </c>
      <c r="K4546" s="38"/>
      <c r="L4546" s="389"/>
      <c r="M4546" s="419"/>
      <c r="N4546" s="1603"/>
    </row>
    <row r="4547" spans="1:18" ht="30" customHeight="1" x14ac:dyDescent="0.25">
      <c r="A4547" s="48" t="s">
        <v>529</v>
      </c>
      <c r="B4547" s="490" t="s">
        <v>560</v>
      </c>
      <c r="C4547" s="491"/>
      <c r="D4547" s="492"/>
      <c r="E4547" s="397" t="s">
        <v>519</v>
      </c>
      <c r="F4547" s="397" t="s">
        <v>561</v>
      </c>
      <c r="G4547" s="398" t="s">
        <v>562</v>
      </c>
      <c r="H4547" s="399"/>
      <c r="I4547" s="181" t="s">
        <v>530</v>
      </c>
      <c r="J4547" s="181"/>
      <c r="K4547" s="493" t="s">
        <v>521</v>
      </c>
      <c r="L4547" s="494"/>
      <c r="N4547" s="1603"/>
      <c r="O4547"/>
    </row>
    <row r="4548" spans="1:18" ht="30" customHeight="1" x14ac:dyDescent="0.25">
      <c r="A4548" s="61" t="s">
        <v>2836</v>
      </c>
      <c r="B4548" s="236" t="s">
        <v>2837</v>
      </c>
      <c r="C4548" s="237"/>
      <c r="D4548" s="238"/>
      <c r="E4548" s="760">
        <v>120000</v>
      </c>
      <c r="F4548" s="22" t="s">
        <v>11</v>
      </c>
      <c r="G4548" s="1563"/>
      <c r="H4548" s="758"/>
      <c r="I4548" s="20">
        <v>1.06</v>
      </c>
      <c r="J4548" s="22"/>
      <c r="K4548" s="23">
        <f>+E4548*I4548</f>
        <v>127200</v>
      </c>
      <c r="L4548" s="22" t="s">
        <v>11</v>
      </c>
      <c r="M4548" s="502"/>
      <c r="N4548" s="1603"/>
      <c r="O4548"/>
    </row>
    <row r="4549" spans="1:18" ht="30" customHeight="1" x14ac:dyDescent="0.25">
      <c r="A4549" s="61"/>
      <c r="B4549" s="498"/>
      <c r="C4549" s="498"/>
      <c r="D4549" s="498"/>
      <c r="E4549" s="405"/>
      <c r="F4549" s="338" t="s">
        <v>533</v>
      </c>
      <c r="G4549" s="339" t="s">
        <v>534</v>
      </c>
      <c r="H4549" s="339"/>
      <c r="I4549" s="339"/>
      <c r="J4549" s="339"/>
      <c r="K4549" s="340">
        <v>1.07</v>
      </c>
      <c r="L4549" s="10"/>
      <c r="M4549" s="341"/>
      <c r="O4549"/>
    </row>
    <row r="4550" spans="1:18" ht="30" customHeight="1" x14ac:dyDescent="0.25">
      <c r="A4550" s="61"/>
      <c r="B4550" s="498"/>
      <c r="C4550" s="498"/>
      <c r="D4550" s="498"/>
      <c r="E4550" s="405"/>
      <c r="F4550" s="343"/>
      <c r="G4550" s="344" t="s">
        <v>535</v>
      </c>
      <c r="H4550" s="344"/>
      <c r="I4550" s="344"/>
      <c r="J4550" s="344"/>
      <c r="K4550" s="340">
        <v>1.02</v>
      </c>
      <c r="L4550" s="10"/>
      <c r="N4550" s="502"/>
      <c r="O4550"/>
    </row>
    <row r="4551" spans="1:18" ht="30" customHeight="1" x14ac:dyDescent="0.25">
      <c r="A4551" s="1334"/>
      <c r="B4551" s="1629"/>
      <c r="C4551" s="1630"/>
      <c r="D4551" s="1631"/>
      <c r="E4551" s="405"/>
      <c r="F4551" s="22"/>
      <c r="G4551" s="730"/>
      <c r="H4551" s="649"/>
      <c r="I4551" s="20"/>
      <c r="J4551" s="20" t="s">
        <v>358</v>
      </c>
      <c r="K4551" s="23">
        <f>+K4548*K4549/K4550</f>
        <v>133435.29411764705</v>
      </c>
      <c r="L4551" s="20" t="s">
        <v>11</v>
      </c>
      <c r="M4551" s="43"/>
      <c r="N4551" s="342"/>
      <c r="O4551"/>
    </row>
    <row r="4552" spans="1:18" ht="30" customHeight="1" thickBot="1" x14ac:dyDescent="0.3">
      <c r="A4552" s="61"/>
      <c r="B4552" s="61"/>
      <c r="C4552" s="63"/>
      <c r="D4552" s="63"/>
      <c r="E4552" s="18"/>
      <c r="F4552" s="18"/>
      <c r="G4552" s="413" t="s">
        <v>537</v>
      </c>
      <c r="H4552" s="18"/>
      <c r="I4552" s="18"/>
      <c r="J4552" s="361">
        <f>VLOOKUP(B4546,'Mil Cost Premiums for RUCs'!$A$4:$R$265,18,FALSE)</f>
        <v>1.0905505199999999</v>
      </c>
      <c r="K4552" s="23">
        <f>+K4551*J4552</f>
        <v>145517.92938635292</v>
      </c>
      <c r="L4552" s="20" t="s">
        <v>11</v>
      </c>
      <c r="O4552"/>
    </row>
    <row r="4553" spans="1:18" ht="30" customHeight="1" thickBot="1" x14ac:dyDescent="0.3">
      <c r="A4553" s="76"/>
      <c r="B4553" s="77"/>
      <c r="C4553" s="77"/>
      <c r="D4553" s="77"/>
      <c r="E4553" s="77"/>
      <c r="F4553" s="77"/>
      <c r="G4553" s="77"/>
      <c r="H4553" s="77"/>
      <c r="I4553" s="77"/>
      <c r="J4553" s="77"/>
      <c r="K4553" s="77"/>
      <c r="L4553" s="78"/>
      <c r="M4553" s="502"/>
      <c r="O4553"/>
    </row>
    <row r="4554" spans="1:18" ht="30" customHeight="1" x14ac:dyDescent="0.25">
      <c r="A4554" s="30" t="s">
        <v>288</v>
      </c>
      <c r="B4554" s="208">
        <v>8711</v>
      </c>
      <c r="C4554" s="209" t="s">
        <v>2838</v>
      </c>
      <c r="D4554" s="210"/>
      <c r="E4554" s="177" t="s">
        <v>291</v>
      </c>
      <c r="F4554" s="178" t="s">
        <v>7</v>
      </c>
      <c r="G4554" s="123" t="s">
        <v>375</v>
      </c>
      <c r="H4554" s="179">
        <v>13382</v>
      </c>
      <c r="I4554" s="177" t="s">
        <v>292</v>
      </c>
      <c r="J4554" s="38" t="s">
        <v>883</v>
      </c>
      <c r="K4554" s="38"/>
      <c r="L4554" s="389"/>
      <c r="O4554"/>
    </row>
    <row r="4555" spans="1:18" ht="30" customHeight="1" x14ac:dyDescent="0.25">
      <c r="A4555" s="48" t="s">
        <v>529</v>
      </c>
      <c r="B4555" s="394" t="s">
        <v>560</v>
      </c>
      <c r="C4555" s="395"/>
      <c r="D4555" s="396"/>
      <c r="E4555" s="397" t="s">
        <v>519</v>
      </c>
      <c r="F4555" s="397" t="s">
        <v>561</v>
      </c>
      <c r="G4555" s="398" t="s">
        <v>562</v>
      </c>
      <c r="H4555" s="399"/>
      <c r="I4555" s="181" t="s">
        <v>530</v>
      </c>
      <c r="J4555" s="181"/>
      <c r="K4555" s="493" t="s">
        <v>521</v>
      </c>
      <c r="L4555" s="494"/>
      <c r="N4555" s="502"/>
      <c r="O4555"/>
    </row>
    <row r="4556" spans="1:18" ht="30" customHeight="1" x14ac:dyDescent="0.25">
      <c r="A4556" s="61"/>
      <c r="B4556" s="503" t="s">
        <v>2839</v>
      </c>
      <c r="C4556" s="504"/>
      <c r="D4556" s="505"/>
      <c r="E4556" s="756"/>
      <c r="F4556" s="22"/>
      <c r="G4556" s="1112"/>
      <c r="H4556" s="758"/>
      <c r="I4556" s="20"/>
      <c r="J4556" s="20"/>
      <c r="K4556" s="776"/>
      <c r="L4556" s="22"/>
      <c r="O4556"/>
    </row>
    <row r="4557" spans="1:18" ht="30" customHeight="1" x14ac:dyDescent="0.25">
      <c r="A4557" s="61" t="s">
        <v>2840</v>
      </c>
      <c r="B4557" s="503" t="s">
        <v>2841</v>
      </c>
      <c r="C4557" s="504"/>
      <c r="D4557" s="505"/>
      <c r="E4557" s="760">
        <f>+(14.5+17.75)/2</f>
        <v>16.125</v>
      </c>
      <c r="F4557" s="22" t="s">
        <v>7</v>
      </c>
      <c r="G4557" s="1112"/>
      <c r="H4557" s="758"/>
      <c r="I4557" s="751">
        <v>1.03</v>
      </c>
      <c r="J4557" s="20"/>
      <c r="K4557" s="776">
        <f>+E4557*I4557</f>
        <v>16.608750000000001</v>
      </c>
      <c r="L4557" s="22" t="s">
        <v>7</v>
      </c>
      <c r="O4557"/>
    </row>
    <row r="4558" spans="1:18" ht="30" customHeight="1" x14ac:dyDescent="0.25">
      <c r="A4558" s="61" t="s">
        <v>2840</v>
      </c>
      <c r="B4558" s="503" t="s">
        <v>2842</v>
      </c>
      <c r="C4558" s="504"/>
      <c r="D4558" s="505"/>
      <c r="E4558" s="760">
        <f>+(16.85+20.3)/2</f>
        <v>18.575000000000003</v>
      </c>
      <c r="F4558" s="22" t="s">
        <v>7</v>
      </c>
      <c r="G4558" s="1112"/>
      <c r="H4558" s="758"/>
      <c r="I4558" s="751">
        <v>1.03</v>
      </c>
      <c r="J4558" s="20"/>
      <c r="K4558" s="776">
        <f>+E4558*I4558</f>
        <v>19.132250000000003</v>
      </c>
      <c r="L4558" s="22" t="s">
        <v>7</v>
      </c>
      <c r="O4558"/>
    </row>
    <row r="4559" spans="1:18" ht="30" customHeight="1" x14ac:dyDescent="0.25">
      <c r="A4559" s="61"/>
      <c r="B4559" s="523"/>
      <c r="C4559" s="524"/>
      <c r="D4559" s="407"/>
      <c r="E4559" s="760"/>
      <c r="F4559" s="22"/>
      <c r="G4559" s="1112"/>
      <c r="H4559" s="758"/>
      <c r="I4559" s="20"/>
      <c r="J4559" s="606" t="s">
        <v>2843</v>
      </c>
      <c r="K4559" s="776">
        <f>AVERAGE(K4557:K4558)</f>
        <v>17.8705</v>
      </c>
      <c r="L4559" s="22" t="s">
        <v>7</v>
      </c>
      <c r="M4559" s="967"/>
      <c r="O4559"/>
    </row>
    <row r="4560" spans="1:18" ht="30" customHeight="1" x14ac:dyDescent="0.25">
      <c r="A4560" s="1336" t="s">
        <v>574</v>
      </c>
      <c r="B4560" s="503" t="s">
        <v>2844</v>
      </c>
      <c r="C4560" s="504"/>
      <c r="D4560" s="505"/>
      <c r="E4560" s="760">
        <v>6.63</v>
      </c>
      <c r="F4560" s="22" t="s">
        <v>7</v>
      </c>
      <c r="G4560" s="1112"/>
      <c r="H4560" s="758"/>
      <c r="I4560" s="20">
        <v>1.04</v>
      </c>
      <c r="J4560" s="20"/>
      <c r="K4560" s="776">
        <f>+E4560*I4560</f>
        <v>6.8952</v>
      </c>
      <c r="L4560" s="22" t="s">
        <v>7</v>
      </c>
      <c r="O4560" s="128"/>
      <c r="P4560" s="713"/>
      <c r="Q4560" s="712"/>
      <c r="R4560" s="714"/>
    </row>
    <row r="4561" spans="1:19" ht="30" customHeight="1" x14ac:dyDescent="0.25">
      <c r="A4561" s="63"/>
      <c r="B4561" s="186"/>
      <c r="C4561" s="186"/>
      <c r="D4561" s="186"/>
      <c r="E4561" s="405"/>
      <c r="F4561" s="20"/>
      <c r="G4561" s="20"/>
      <c r="H4561" s="20"/>
      <c r="I4561" s="20"/>
      <c r="J4561" s="20" t="s">
        <v>578</v>
      </c>
      <c r="K4561" s="780">
        <f>SUM(K4559:K4560)</f>
        <v>24.765699999999999</v>
      </c>
      <c r="L4561" s="20" t="s">
        <v>7</v>
      </c>
      <c r="N4561" s="1632"/>
      <c r="O4561"/>
      <c r="P4561" s="412"/>
      <c r="Q4561" s="391"/>
      <c r="R4561" s="393"/>
    </row>
    <row r="4562" spans="1:19" ht="30" customHeight="1" x14ac:dyDescent="0.25">
      <c r="A4562" s="61"/>
      <c r="B4562" s="410"/>
      <c r="C4562" s="410"/>
      <c r="D4562" s="410"/>
      <c r="E4562" s="405"/>
      <c r="F4562" s="338" t="s">
        <v>533</v>
      </c>
      <c r="G4562" s="339" t="s">
        <v>534</v>
      </c>
      <c r="H4562" s="339"/>
      <c r="I4562" s="339"/>
      <c r="J4562" s="339"/>
      <c r="K4562" s="340">
        <v>1.07</v>
      </c>
      <c r="L4562" s="10"/>
      <c r="O4562"/>
      <c r="P4562" s="412"/>
      <c r="Q4562" s="391"/>
      <c r="R4562" s="393"/>
    </row>
    <row r="4563" spans="1:19" s="1533" customFormat="1" ht="30" customHeight="1" x14ac:dyDescent="0.25">
      <c r="A4563" s="61"/>
      <c r="B4563" s="410"/>
      <c r="C4563" s="410"/>
      <c r="D4563" s="410"/>
      <c r="E4563" s="405"/>
      <c r="F4563" s="343"/>
      <c r="G4563" s="344" t="s">
        <v>535</v>
      </c>
      <c r="H4563" s="344"/>
      <c r="I4563" s="344"/>
      <c r="J4563" s="344"/>
      <c r="K4563" s="340">
        <v>1.02</v>
      </c>
      <c r="L4563" s="10"/>
      <c r="M4563" s="25"/>
      <c r="N4563" s="25"/>
      <c r="O4563" s="49"/>
      <c r="P4563" s="412"/>
      <c r="Q4563" s="391"/>
      <c r="R4563" s="393"/>
      <c r="S4563" s="49"/>
    </row>
    <row r="4564" spans="1:19" ht="30" customHeight="1" x14ac:dyDescent="0.25">
      <c r="A4564" s="63"/>
      <c r="B4564" s="20"/>
      <c r="C4564" s="18"/>
      <c r="D4564" s="18"/>
      <c r="E4564" s="18"/>
      <c r="F4564" s="18"/>
      <c r="G4564" s="18"/>
      <c r="H4564" s="18"/>
      <c r="I4564" s="18"/>
      <c r="J4564" s="20" t="s">
        <v>358</v>
      </c>
      <c r="K4564" s="23">
        <f>+K4561*K4562/K4563</f>
        <v>25.979704901960783</v>
      </c>
      <c r="L4564" s="20" t="s">
        <v>7</v>
      </c>
      <c r="O4564"/>
      <c r="P4564" s="412"/>
      <c r="Q4564" s="391"/>
      <c r="R4564" s="393"/>
    </row>
    <row r="4565" spans="1:19" ht="30" customHeight="1" thickBot="1" x14ac:dyDescent="0.3">
      <c r="A4565" s="61"/>
      <c r="B4565" s="20"/>
      <c r="C4565" s="18"/>
      <c r="D4565" s="18"/>
      <c r="E4565" s="18"/>
      <c r="F4565" s="18"/>
      <c r="G4565" s="413" t="s">
        <v>537</v>
      </c>
      <c r="H4565" s="18"/>
      <c r="I4565" s="18"/>
      <c r="J4565" s="361">
        <f>VLOOKUP(B4554,'Mil Cost Premiums for RUCs'!$A$4:$R$265,18,FALSE)</f>
        <v>1.0905505199999999</v>
      </c>
      <c r="K4565" s="23">
        <f>+K4564*J4565</f>
        <v>28.332180690279877</v>
      </c>
      <c r="L4565" s="20" t="s">
        <v>7</v>
      </c>
      <c r="O4565"/>
      <c r="P4565" s="412"/>
      <c r="Q4565" s="391"/>
      <c r="R4565" s="393"/>
    </row>
    <row r="4566" spans="1:19" ht="30" customHeight="1" thickBot="1" x14ac:dyDescent="0.3">
      <c r="A4566" s="76"/>
      <c r="B4566" s="77"/>
      <c r="C4566" s="77"/>
      <c r="D4566" s="77"/>
      <c r="E4566" s="77"/>
      <c r="F4566" s="77"/>
      <c r="G4566" s="77"/>
      <c r="H4566" s="77"/>
      <c r="I4566" s="77"/>
      <c r="J4566" s="77"/>
      <c r="K4566" s="77"/>
      <c r="L4566" s="78"/>
      <c r="O4566" s="43"/>
      <c r="P4566" s="672"/>
      <c r="Q4566" s="671"/>
      <c r="R4566" s="673"/>
    </row>
    <row r="4567" spans="1:19" ht="30" customHeight="1" x14ac:dyDescent="0.25">
      <c r="A4567" s="30" t="s">
        <v>288</v>
      </c>
      <c r="B4567" s="31">
        <v>8712</v>
      </c>
      <c r="C4567" s="161" t="s">
        <v>2845</v>
      </c>
      <c r="D4567" s="162"/>
      <c r="E4567" s="177" t="s">
        <v>291</v>
      </c>
      <c r="F4567" s="178" t="s">
        <v>7</v>
      </c>
      <c r="G4567" s="123" t="s">
        <v>375</v>
      </c>
      <c r="H4567" s="1425">
        <v>982</v>
      </c>
      <c r="I4567" s="177" t="s">
        <v>292</v>
      </c>
      <c r="J4567" s="38" t="s">
        <v>883</v>
      </c>
      <c r="K4567" s="38"/>
      <c r="L4567" s="389"/>
      <c r="O4567" s="43"/>
      <c r="P4567" s="672"/>
      <c r="Q4567" s="671"/>
      <c r="R4567" s="673"/>
    </row>
    <row r="4568" spans="1:19" ht="30" customHeight="1" x14ac:dyDescent="0.25">
      <c r="A4568" s="48" t="s">
        <v>529</v>
      </c>
      <c r="B4568" s="490" t="s">
        <v>560</v>
      </c>
      <c r="C4568" s="491"/>
      <c r="D4568" s="492"/>
      <c r="E4568" s="397" t="s">
        <v>519</v>
      </c>
      <c r="F4568" s="397" t="s">
        <v>561</v>
      </c>
      <c r="G4568" s="398" t="s">
        <v>562</v>
      </c>
      <c r="H4568" s="399"/>
      <c r="I4568" s="181" t="s">
        <v>530</v>
      </c>
      <c r="J4568" s="181"/>
      <c r="K4568" s="493" t="s">
        <v>521</v>
      </c>
      <c r="L4568" s="494"/>
      <c r="O4568"/>
      <c r="P4568" s="412"/>
      <c r="Q4568" s="391"/>
      <c r="R4568" s="393"/>
      <c r="S4568" s="128"/>
    </row>
    <row r="4569" spans="1:19" ht="30" customHeight="1" x14ac:dyDescent="0.25">
      <c r="A4569" s="61" t="s">
        <v>780</v>
      </c>
      <c r="B4569" s="236" t="s">
        <v>2846</v>
      </c>
      <c r="C4569" s="237"/>
      <c r="D4569" s="238"/>
      <c r="E4569" s="760">
        <v>14.2</v>
      </c>
      <c r="F4569" s="22" t="s">
        <v>9</v>
      </c>
      <c r="G4569" s="1563">
        <v>8</v>
      </c>
      <c r="H4569" s="758" t="s">
        <v>2772</v>
      </c>
      <c r="I4569" s="20">
        <v>1.04</v>
      </c>
      <c r="J4569" s="22"/>
      <c r="K4569" s="23">
        <f>+E4569*G4569*I4569</f>
        <v>118.14399999999999</v>
      </c>
      <c r="L4569" s="22" t="s">
        <v>7</v>
      </c>
      <c r="M4569" s="419"/>
      <c r="O4569" s="128"/>
      <c r="P4569" s="713"/>
      <c r="Q4569" s="712"/>
      <c r="R4569" s="714"/>
    </row>
    <row r="4570" spans="1:19" ht="30" customHeight="1" x14ac:dyDescent="0.25">
      <c r="A4570" s="1334"/>
      <c r="B4570" s="503" t="s">
        <v>2847</v>
      </c>
      <c r="C4570" s="504"/>
      <c r="D4570" s="505"/>
      <c r="E4570" s="405"/>
      <c r="F4570" s="22"/>
      <c r="G4570" s="730"/>
      <c r="H4570" s="649"/>
      <c r="I4570" s="20"/>
      <c r="J4570" s="20"/>
      <c r="K4570" s="405">
        <f>+K4569*2</f>
        <v>236.28799999999998</v>
      </c>
      <c r="L4570" s="20" t="s">
        <v>7</v>
      </c>
      <c r="M4570" s="986"/>
      <c r="N4570" s="1865"/>
      <c r="O4570" s="128"/>
      <c r="P4570" s="713"/>
      <c r="Q4570" s="712"/>
      <c r="R4570" s="714"/>
    </row>
    <row r="4571" spans="1:19" ht="30" customHeight="1" x14ac:dyDescent="0.25">
      <c r="A4571" s="1334"/>
      <c r="B4571" s="716" t="s">
        <v>2848</v>
      </c>
      <c r="C4571" s="717"/>
      <c r="D4571" s="718"/>
      <c r="E4571" s="405"/>
      <c r="F4571" s="20"/>
      <c r="G4571" s="20"/>
      <c r="H4571" s="20"/>
      <c r="I4571" s="20"/>
      <c r="J4571" s="20"/>
      <c r="K4571" s="405"/>
      <c r="L4571" s="20"/>
      <c r="M4571" s="986"/>
      <c r="N4571" s="1633"/>
      <c r="O4571"/>
      <c r="P4571" s="412"/>
      <c r="Q4571" s="391"/>
      <c r="R4571" s="393"/>
    </row>
    <row r="4572" spans="1:19" s="1533" customFormat="1" ht="30" customHeight="1" x14ac:dyDescent="0.25">
      <c r="A4572" s="61"/>
      <c r="B4572" s="498"/>
      <c r="C4572" s="498"/>
      <c r="D4572" s="498"/>
      <c r="E4572" s="405"/>
      <c r="F4572" s="338" t="s">
        <v>533</v>
      </c>
      <c r="G4572" s="339" t="s">
        <v>534</v>
      </c>
      <c r="H4572" s="339"/>
      <c r="I4572" s="339"/>
      <c r="J4572" s="339"/>
      <c r="K4572" s="340">
        <v>1.07</v>
      </c>
      <c r="L4572" s="10"/>
      <c r="M4572" s="419"/>
      <c r="N4572" s="420"/>
      <c r="O4572" s="49"/>
      <c r="P4572" s="412"/>
      <c r="Q4572" s="391"/>
      <c r="R4572" s="393"/>
      <c r="S4572" s="49"/>
    </row>
    <row r="4573" spans="1:19" s="128" customFormat="1" ht="30" customHeight="1" x14ac:dyDescent="0.25">
      <c r="A4573" s="61"/>
      <c r="B4573" s="498"/>
      <c r="C4573" s="498"/>
      <c r="D4573" s="498"/>
      <c r="E4573" s="405"/>
      <c r="F4573" s="343"/>
      <c r="G4573" s="344" t="s">
        <v>535</v>
      </c>
      <c r="H4573" s="344"/>
      <c r="I4573" s="344"/>
      <c r="J4573" s="344"/>
      <c r="K4573" s="340">
        <v>1.02</v>
      </c>
      <c r="L4573" s="10"/>
      <c r="M4573" s="670"/>
      <c r="N4573" s="420"/>
      <c r="O4573"/>
      <c r="P4573" s="412"/>
      <c r="Q4573" s="391"/>
      <c r="R4573" s="393"/>
      <c r="S4573"/>
    </row>
    <row r="4574" spans="1:19" ht="30" customHeight="1" x14ac:dyDescent="0.25">
      <c r="A4574" s="61"/>
      <c r="B4574" s="61"/>
      <c r="C4574" s="63"/>
      <c r="D4574" s="63"/>
      <c r="E4574" s="18"/>
      <c r="F4574" s="18"/>
      <c r="G4574" s="18"/>
      <c r="H4574" s="18"/>
      <c r="I4574" s="18"/>
      <c r="J4574" s="18" t="s">
        <v>358</v>
      </c>
      <c r="K4574" s="23">
        <f>+K4570*K4572/K4573</f>
        <v>247.87074509803921</v>
      </c>
      <c r="L4574" s="20" t="s">
        <v>7</v>
      </c>
      <c r="M4574" s="670"/>
      <c r="N4574" s="420"/>
      <c r="O4574" s="43"/>
      <c r="P4574" s="672"/>
      <c r="Q4574" s="671"/>
      <c r="R4574" s="673"/>
    </row>
    <row r="4575" spans="1:19" ht="30" customHeight="1" thickBot="1" x14ac:dyDescent="0.3">
      <c r="A4575" s="61"/>
      <c r="B4575" s="61"/>
      <c r="C4575" s="63"/>
      <c r="D4575" s="63"/>
      <c r="E4575" s="18"/>
      <c r="F4575" s="18"/>
      <c r="G4575" s="413" t="s">
        <v>537</v>
      </c>
      <c r="H4575" s="18"/>
      <c r="I4575" s="18"/>
      <c r="J4575" s="361">
        <f>VLOOKUP(B4567,'Mil Cost Premiums for RUCs'!$A$4:$R$265,18,FALSE)</f>
        <v>1.0209999999999999</v>
      </c>
      <c r="K4575" s="23">
        <f>+K4574*J4575</f>
        <v>253.076030745098</v>
      </c>
      <c r="L4575" s="20" t="s">
        <v>7</v>
      </c>
      <c r="M4575" s="419"/>
      <c r="N4575" s="671"/>
      <c r="O4575" s="43"/>
      <c r="P4575" s="672"/>
      <c r="Q4575" s="671"/>
      <c r="R4575" s="673"/>
    </row>
    <row r="4576" spans="1:19" ht="30" customHeight="1" thickBot="1" x14ac:dyDescent="0.3">
      <c r="A4576" s="76"/>
      <c r="B4576" s="77"/>
      <c r="C4576" s="77"/>
      <c r="D4576" s="77"/>
      <c r="E4576" s="77"/>
      <c r="F4576" s="77"/>
      <c r="G4576" s="77"/>
      <c r="H4576" s="77"/>
      <c r="I4576" s="77"/>
      <c r="J4576" s="77"/>
      <c r="K4576" s="77"/>
      <c r="L4576" s="78"/>
      <c r="M4576" s="419"/>
      <c r="N4576" s="671"/>
      <c r="O4576"/>
      <c r="P4576" s="412"/>
      <c r="Q4576" s="391"/>
      <c r="R4576" s="393"/>
    </row>
    <row r="4577" spans="1:19" ht="30" customHeight="1" x14ac:dyDescent="0.25">
      <c r="A4577" s="207" t="s">
        <v>288</v>
      </c>
      <c r="B4577" s="208">
        <v>8713</v>
      </c>
      <c r="C4577" s="209" t="s">
        <v>2849</v>
      </c>
      <c r="D4577" s="210"/>
      <c r="E4577" s="177" t="s">
        <v>291</v>
      </c>
      <c r="F4577" s="178" t="s">
        <v>11</v>
      </c>
      <c r="G4577" s="465" t="s">
        <v>290</v>
      </c>
      <c r="H4577" s="1425">
        <v>1</v>
      </c>
      <c r="I4577" s="177" t="s">
        <v>292</v>
      </c>
      <c r="J4577" s="38" t="s">
        <v>400</v>
      </c>
      <c r="K4577" s="39"/>
      <c r="L4577" s="40"/>
      <c r="M4577" s="1873"/>
      <c r="N4577" s="420"/>
      <c r="O4577"/>
      <c r="P4577" s="412"/>
      <c r="Q4577" s="391"/>
      <c r="R4577" s="393"/>
    </row>
    <row r="4578" spans="1:19" ht="30" customHeight="1" x14ac:dyDescent="0.25">
      <c r="A4578" s="181" t="s">
        <v>294</v>
      </c>
      <c r="B4578" s="180" t="s">
        <v>295</v>
      </c>
      <c r="C4578" s="180"/>
      <c r="D4578" s="180"/>
      <c r="E4578" s="181" t="s">
        <v>296</v>
      </c>
      <c r="F4578" s="181" t="s">
        <v>2</v>
      </c>
      <c r="G4578" s="181" t="s">
        <v>297</v>
      </c>
      <c r="H4578" s="181" t="s">
        <v>298</v>
      </c>
      <c r="I4578" s="181" t="s">
        <v>299</v>
      </c>
      <c r="J4578" s="185" t="s">
        <v>300</v>
      </c>
      <c r="K4578" s="185" t="s">
        <v>301</v>
      </c>
      <c r="L4578" s="185"/>
      <c r="M4578" s="419"/>
      <c r="N4578" s="420"/>
      <c r="O4578"/>
      <c r="P4578" s="412"/>
      <c r="Q4578" s="391"/>
      <c r="R4578" s="393"/>
    </row>
    <row r="4579" spans="1:19" ht="30" customHeight="1" x14ac:dyDescent="0.25">
      <c r="A4579" s="466" t="s">
        <v>2850</v>
      </c>
      <c r="B4579" s="467" t="s">
        <v>2851</v>
      </c>
      <c r="C4579" s="467"/>
      <c r="D4579" s="467"/>
      <c r="E4579" s="466">
        <v>943</v>
      </c>
      <c r="F4579" s="147" t="s">
        <v>7</v>
      </c>
      <c r="G4579" s="972">
        <v>9563.02</v>
      </c>
      <c r="H4579" s="972">
        <v>9335.81</v>
      </c>
      <c r="I4579" s="972">
        <v>773.92</v>
      </c>
      <c r="J4579" s="972">
        <v>11434.96</v>
      </c>
      <c r="K4579" s="972">
        <v>19672.75</v>
      </c>
      <c r="L4579" s="147" t="s">
        <v>11</v>
      </c>
      <c r="M4579" s="425"/>
      <c r="N4579" s="1634"/>
      <c r="O4579" s="128"/>
      <c r="P4579" s="713"/>
      <c r="Q4579" s="712"/>
      <c r="R4579" s="714"/>
    </row>
    <row r="4580" spans="1:19" s="49" customFormat="1" ht="30" customHeight="1" x14ac:dyDescent="0.25">
      <c r="A4580" s="466" t="s">
        <v>2852</v>
      </c>
      <c r="B4580" s="214" t="s">
        <v>2853</v>
      </c>
      <c r="C4580" s="214"/>
      <c r="D4580" s="214"/>
      <c r="E4580" s="466">
        <v>2.25</v>
      </c>
      <c r="F4580" s="147" t="s">
        <v>2854</v>
      </c>
      <c r="G4580" s="972">
        <v>0</v>
      </c>
      <c r="H4580" s="972">
        <v>1368.86</v>
      </c>
      <c r="I4580" s="972">
        <v>146.65</v>
      </c>
      <c r="J4580" s="972">
        <v>784.38</v>
      </c>
      <c r="K4580" s="972">
        <v>1515.5</v>
      </c>
      <c r="L4580" s="147" t="s">
        <v>11</v>
      </c>
      <c r="M4580" s="556"/>
      <c r="N4580" s="1603"/>
      <c r="P4580" s="412"/>
      <c r="Q4580" s="391"/>
      <c r="R4580" s="393"/>
    </row>
    <row r="4581" spans="1:19" ht="30" customHeight="1" x14ac:dyDescent="0.25">
      <c r="A4581" s="466" t="s">
        <v>2855</v>
      </c>
      <c r="B4581" s="214" t="s">
        <v>2856</v>
      </c>
      <c r="C4581" s="214"/>
      <c r="D4581" s="214"/>
      <c r="E4581" s="468">
        <v>4351.6899999999996</v>
      </c>
      <c r="F4581" s="147" t="s">
        <v>3</v>
      </c>
      <c r="G4581" s="972">
        <v>0</v>
      </c>
      <c r="H4581" s="972">
        <v>42662.46</v>
      </c>
      <c r="I4581" s="972">
        <v>0</v>
      </c>
      <c r="J4581" s="972">
        <v>21467.63</v>
      </c>
      <c r="K4581" s="972">
        <v>42662.46</v>
      </c>
      <c r="L4581" s="147" t="s">
        <v>11</v>
      </c>
      <c r="M4581" s="670"/>
      <c r="N4581" s="1603"/>
      <c r="O4581"/>
      <c r="P4581" s="412"/>
      <c r="Q4581" s="391"/>
      <c r="R4581" s="393"/>
    </row>
    <row r="4582" spans="1:19" ht="30" customHeight="1" x14ac:dyDescent="0.25">
      <c r="A4582" s="466" t="s">
        <v>2857</v>
      </c>
      <c r="B4582" s="214" t="s">
        <v>2858</v>
      </c>
      <c r="C4582" s="214"/>
      <c r="D4582" s="214"/>
      <c r="E4582" s="468">
        <v>1183.9100000000001</v>
      </c>
      <c r="F4582" s="147" t="s">
        <v>307</v>
      </c>
      <c r="G4582" s="972">
        <v>0</v>
      </c>
      <c r="H4582" s="972">
        <v>130304.8</v>
      </c>
      <c r="I4582" s="972">
        <v>0</v>
      </c>
      <c r="J4582" s="972">
        <v>65568.990000000005</v>
      </c>
      <c r="K4582" s="972">
        <v>130304.8</v>
      </c>
      <c r="L4582" s="147" t="s">
        <v>11</v>
      </c>
      <c r="M4582" s="670"/>
      <c r="N4582" s="556"/>
      <c r="O4582"/>
      <c r="P4582" s="412"/>
      <c r="Q4582" s="391"/>
      <c r="R4582" s="393"/>
    </row>
    <row r="4583" spans="1:19" ht="30" customHeight="1" x14ac:dyDescent="0.25">
      <c r="A4583" s="466" t="s">
        <v>2859</v>
      </c>
      <c r="B4583" s="214" t="s">
        <v>2860</v>
      </c>
      <c r="C4583" s="214"/>
      <c r="D4583" s="214"/>
      <c r="E4583" s="468">
        <v>23678.18</v>
      </c>
      <c r="F4583" s="147" t="s">
        <v>307</v>
      </c>
      <c r="G4583" s="972">
        <v>0</v>
      </c>
      <c r="H4583" s="972">
        <v>46065.39</v>
      </c>
      <c r="I4583" s="972">
        <v>16737.05</v>
      </c>
      <c r="J4583" s="972">
        <v>34088.51</v>
      </c>
      <c r="K4583" s="972">
        <v>62802.44</v>
      </c>
      <c r="L4583" s="147" t="s">
        <v>11</v>
      </c>
      <c r="M4583" s="419"/>
      <c r="N4583" s="671"/>
      <c r="O4583"/>
      <c r="P4583" s="412"/>
      <c r="Q4583" s="391"/>
      <c r="R4583" s="393"/>
    </row>
    <row r="4584" spans="1:19" s="128" customFormat="1" ht="30" customHeight="1" x14ac:dyDescent="0.25">
      <c r="A4584" s="466" t="s">
        <v>2861</v>
      </c>
      <c r="B4584" s="214" t="s">
        <v>2862</v>
      </c>
      <c r="C4584" s="214"/>
      <c r="D4584" s="214"/>
      <c r="E4584" s="468">
        <v>23678.18</v>
      </c>
      <c r="F4584" s="147" t="s">
        <v>307</v>
      </c>
      <c r="G4584" s="972">
        <v>1298667.79</v>
      </c>
      <c r="H4584" s="972">
        <v>112872.17</v>
      </c>
      <c r="I4584" s="972">
        <v>129431.46</v>
      </c>
      <c r="J4584" s="972">
        <v>987574.96</v>
      </c>
      <c r="K4584" s="972">
        <v>1540971.42</v>
      </c>
      <c r="L4584" s="147" t="s">
        <v>11</v>
      </c>
      <c r="M4584" s="419"/>
      <c r="N4584" s="671"/>
      <c r="O4584"/>
      <c r="P4584" s="412"/>
      <c r="Q4584" s="391"/>
      <c r="R4584" s="393"/>
    </row>
    <row r="4585" spans="1:19" s="128" customFormat="1" ht="30" customHeight="1" x14ac:dyDescent="0.25">
      <c r="A4585" s="466" t="s">
        <v>2863</v>
      </c>
      <c r="B4585" s="214" t="s">
        <v>2864</v>
      </c>
      <c r="C4585" s="214"/>
      <c r="D4585" s="214"/>
      <c r="E4585" s="468">
        <v>2367.8200000000002</v>
      </c>
      <c r="F4585" s="147" t="s">
        <v>307</v>
      </c>
      <c r="G4585" s="972">
        <v>0</v>
      </c>
      <c r="H4585" s="972">
        <v>6151.17</v>
      </c>
      <c r="I4585" s="972">
        <v>437.77</v>
      </c>
      <c r="J4585" s="972">
        <v>3380.57</v>
      </c>
      <c r="K4585" s="972">
        <v>6588.94</v>
      </c>
      <c r="L4585" s="147" t="s">
        <v>11</v>
      </c>
      <c r="M4585" s="419"/>
      <c r="N4585" s="420"/>
      <c r="O4585"/>
      <c r="P4585" s="412"/>
      <c r="Q4585" s="391"/>
      <c r="R4585" s="393"/>
      <c r="S4585"/>
    </row>
    <row r="4586" spans="1:19" s="128" customFormat="1" ht="30" customHeight="1" x14ac:dyDescent="0.25">
      <c r="A4586" s="466" t="s">
        <v>2865</v>
      </c>
      <c r="B4586" s="214" t="s">
        <v>2866</v>
      </c>
      <c r="C4586" s="214"/>
      <c r="D4586" s="214"/>
      <c r="E4586" s="468">
        <v>21310.36</v>
      </c>
      <c r="F4586" s="147" t="s">
        <v>307</v>
      </c>
      <c r="G4586" s="972">
        <v>0</v>
      </c>
      <c r="H4586" s="972">
        <v>20569.11</v>
      </c>
      <c r="I4586" s="972">
        <v>20785.25</v>
      </c>
      <c r="J4586" s="972">
        <v>23897.31</v>
      </c>
      <c r="K4586" s="972">
        <v>41354.36</v>
      </c>
      <c r="L4586" s="147" t="s">
        <v>11</v>
      </c>
      <c r="M4586" s="1864"/>
      <c r="N4586" s="420"/>
      <c r="O4586"/>
      <c r="P4586" s="412"/>
      <c r="Q4586" s="391"/>
      <c r="R4586" s="393"/>
      <c r="S4586"/>
    </row>
    <row r="4587" spans="1:19" ht="30" customHeight="1" x14ac:dyDescent="0.25">
      <c r="A4587" s="466" t="s">
        <v>2867</v>
      </c>
      <c r="B4587" s="214" t="s">
        <v>2868</v>
      </c>
      <c r="C4587" s="214"/>
      <c r="D4587" s="214"/>
      <c r="E4587" s="468">
        <v>1199</v>
      </c>
      <c r="F4587" s="147" t="s">
        <v>7</v>
      </c>
      <c r="G4587" s="972">
        <v>5146.84</v>
      </c>
      <c r="H4587" s="972">
        <v>7034.96</v>
      </c>
      <c r="I4587" s="972">
        <v>1914.32</v>
      </c>
      <c r="J4587" s="972">
        <v>8142.15</v>
      </c>
      <c r="K4587" s="972">
        <v>14096.12</v>
      </c>
      <c r="L4587" s="147" t="s">
        <v>11</v>
      </c>
      <c r="M4587" s="1864"/>
      <c r="N4587" s="420"/>
      <c r="O4587" s="43"/>
      <c r="P4587" s="672"/>
      <c r="Q4587" s="671"/>
      <c r="R4587" s="673"/>
    </row>
    <row r="4588" spans="1:19" ht="30" customHeight="1" x14ac:dyDescent="0.25">
      <c r="A4588" s="466" t="s">
        <v>2869</v>
      </c>
      <c r="B4588" s="214" t="s">
        <v>2870</v>
      </c>
      <c r="C4588" s="214"/>
      <c r="D4588" s="214"/>
      <c r="E4588" s="468">
        <v>2367.8200000000002</v>
      </c>
      <c r="F4588" s="147" t="s">
        <v>307</v>
      </c>
      <c r="G4588" s="972">
        <v>119192.9</v>
      </c>
      <c r="H4588" s="972">
        <v>15796.65</v>
      </c>
      <c r="I4588" s="972">
        <v>6651.23</v>
      </c>
      <c r="J4588" s="972">
        <v>89969</v>
      </c>
      <c r="K4588" s="972">
        <v>141640.78</v>
      </c>
      <c r="L4588" s="147" t="s">
        <v>11</v>
      </c>
      <c r="M4588" s="419"/>
      <c r="N4588" s="956"/>
      <c r="O4588" s="43"/>
      <c r="P4588" s="672"/>
      <c r="Q4588" s="671"/>
      <c r="R4588" s="673"/>
    </row>
    <row r="4589" spans="1:19" ht="30" customHeight="1" x14ac:dyDescent="0.25">
      <c r="A4589" s="466" t="s">
        <v>2871</v>
      </c>
      <c r="B4589" s="214" t="s">
        <v>2872</v>
      </c>
      <c r="C4589" s="214"/>
      <c r="D4589" s="214"/>
      <c r="E4589" s="466">
        <v>2.25</v>
      </c>
      <c r="F4589" s="147" t="s">
        <v>2854</v>
      </c>
      <c r="G4589" s="972">
        <v>1168.8699999999999</v>
      </c>
      <c r="H4589" s="972">
        <v>491.79</v>
      </c>
      <c r="I4589" s="972">
        <v>288.44</v>
      </c>
      <c r="J4589" s="972">
        <v>1197.28</v>
      </c>
      <c r="K4589" s="972">
        <v>1949.1</v>
      </c>
      <c r="L4589" s="147" t="s">
        <v>11</v>
      </c>
      <c r="M4589" s="419"/>
      <c r="N4589" s="956"/>
      <c r="O4589"/>
      <c r="P4589" s="412"/>
      <c r="Q4589" s="391"/>
      <c r="R4589" s="393"/>
    </row>
    <row r="4590" spans="1:19" ht="30" customHeight="1" x14ac:dyDescent="0.25">
      <c r="A4590" s="195" t="s">
        <v>2873</v>
      </c>
      <c r="B4590" s="196"/>
      <c r="C4590" s="196"/>
      <c r="D4590" s="197"/>
      <c r="E4590" s="18"/>
      <c r="F4590" s="18"/>
      <c r="G4590" s="18"/>
      <c r="H4590" s="18"/>
      <c r="I4590" s="18"/>
      <c r="J4590" s="116"/>
      <c r="K4590" s="304">
        <f>SUM(K4579:K4589)</f>
        <v>2003558.6700000002</v>
      </c>
      <c r="L4590" s="147" t="s">
        <v>11</v>
      </c>
      <c r="N4590" s="1603"/>
      <c r="O4590" s="128"/>
      <c r="P4590" s="713"/>
      <c r="Q4590" s="712"/>
      <c r="R4590" s="714"/>
    </row>
    <row r="4591" spans="1:19" ht="30" customHeight="1" thickBot="1" x14ac:dyDescent="0.3">
      <c r="A4591" s="1635"/>
      <c r="B4591" s="1636"/>
      <c r="C4591" s="1636"/>
      <c r="D4591" s="1637"/>
      <c r="E4591" s="1496" t="s">
        <v>2874</v>
      </c>
      <c r="F4591" s="1497"/>
      <c r="G4591" s="1498"/>
      <c r="H4591" s="18"/>
      <c r="I4591" s="18"/>
      <c r="J4591" s="1571" t="s">
        <v>358</v>
      </c>
      <c r="K4591" s="303">
        <f>+K4590/H4577</f>
        <v>2003558.6700000002</v>
      </c>
      <c r="L4591" s="147" t="s">
        <v>11</v>
      </c>
      <c r="M4591" s="556"/>
      <c r="N4591" s="420"/>
      <c r="O4591"/>
      <c r="P4591" s="412"/>
      <c r="Q4591" s="391"/>
      <c r="R4591" s="393"/>
    </row>
    <row r="4592" spans="1:19" ht="30" customHeight="1" thickBot="1" x14ac:dyDescent="0.3">
      <c r="A4592" s="76"/>
      <c r="B4592" s="77"/>
      <c r="C4592" s="77"/>
      <c r="D4592" s="77"/>
      <c r="E4592" s="77"/>
      <c r="F4592" s="77"/>
      <c r="G4592" s="77"/>
      <c r="H4592" s="77"/>
      <c r="I4592" s="77"/>
      <c r="J4592" s="77"/>
      <c r="K4592" s="77"/>
      <c r="L4592" s="78"/>
      <c r="M4592" s="556"/>
      <c r="O4592"/>
      <c r="P4592" s="412"/>
      <c r="Q4592" s="391"/>
      <c r="R4592" s="393"/>
    </row>
    <row r="4593" spans="1:21" s="49" customFormat="1" ht="30" customHeight="1" x14ac:dyDescent="0.25">
      <c r="A4593" s="30" t="s">
        <v>288</v>
      </c>
      <c r="B4593" s="31">
        <v>8714</v>
      </c>
      <c r="C4593" s="161" t="s">
        <v>2875</v>
      </c>
      <c r="D4593" s="162"/>
      <c r="E4593" s="36" t="s">
        <v>291</v>
      </c>
      <c r="F4593" s="37" t="s">
        <v>7</v>
      </c>
      <c r="G4593" s="123" t="s">
        <v>375</v>
      </c>
      <c r="H4593" s="1425">
        <v>1135</v>
      </c>
      <c r="I4593" s="177" t="s">
        <v>292</v>
      </c>
      <c r="J4593" s="38" t="s">
        <v>883</v>
      </c>
      <c r="K4593" s="38"/>
      <c r="L4593" s="389"/>
      <c r="M4593" s="556"/>
      <c r="N4593" s="556"/>
      <c r="P4593" s="412"/>
      <c r="Q4593" s="391"/>
      <c r="R4593" s="393"/>
    </row>
    <row r="4594" spans="1:21" s="128" customFormat="1" ht="30" customHeight="1" x14ac:dyDescent="0.25">
      <c r="A4594" s="48" t="s">
        <v>529</v>
      </c>
      <c r="B4594" s="490" t="s">
        <v>560</v>
      </c>
      <c r="C4594" s="491"/>
      <c r="D4594" s="492"/>
      <c r="E4594" s="793" t="s">
        <v>519</v>
      </c>
      <c r="F4594" s="793" t="s">
        <v>561</v>
      </c>
      <c r="G4594" s="398" t="s">
        <v>562</v>
      </c>
      <c r="H4594" s="399"/>
      <c r="I4594" s="181" t="s">
        <v>530</v>
      </c>
      <c r="J4594" s="44"/>
      <c r="K4594" s="493" t="s">
        <v>521</v>
      </c>
      <c r="L4594" s="494"/>
      <c r="M4594" s="670"/>
      <c r="N4594" s="556"/>
      <c r="O4594"/>
      <c r="P4594" s="412"/>
      <c r="Q4594" s="391"/>
      <c r="R4594" s="393"/>
      <c r="S4594"/>
    </row>
    <row r="4595" spans="1:21" s="128" customFormat="1" ht="30" customHeight="1" x14ac:dyDescent="0.25">
      <c r="A4595" s="61" t="s">
        <v>782</v>
      </c>
      <c r="B4595" s="236" t="s">
        <v>2876</v>
      </c>
      <c r="C4595" s="237"/>
      <c r="D4595" s="238"/>
      <c r="E4595" s="760">
        <f>+(4.89+6.86)/2</f>
        <v>5.875</v>
      </c>
      <c r="F4595" s="157" t="s">
        <v>307</v>
      </c>
      <c r="G4595" s="1112">
        <v>2.37</v>
      </c>
      <c r="H4595" s="1528" t="s">
        <v>2877</v>
      </c>
      <c r="I4595" s="20">
        <v>1.04</v>
      </c>
      <c r="J4595" s="157"/>
      <c r="K4595" s="21">
        <f t="shared" ref="K4595:K4600" si="61">+E4595*G4595*I4595</f>
        <v>14.480700000000001</v>
      </c>
      <c r="L4595" s="157" t="s">
        <v>7</v>
      </c>
      <c r="M4595" s="1881"/>
      <c r="N4595" s="1270"/>
      <c r="O4595"/>
      <c r="P4595" s="412"/>
      <c r="Q4595" s="391"/>
      <c r="R4595" s="393"/>
    </row>
    <row r="4596" spans="1:21" s="128" customFormat="1" ht="30" customHeight="1" x14ac:dyDescent="0.25">
      <c r="A4596" s="61" t="s">
        <v>782</v>
      </c>
      <c r="B4596" s="236" t="s">
        <v>2878</v>
      </c>
      <c r="C4596" s="237"/>
      <c r="D4596" s="238"/>
      <c r="E4596" s="760">
        <v>22.1</v>
      </c>
      <c r="F4596" s="157" t="s">
        <v>307</v>
      </c>
      <c r="G4596" s="1638">
        <v>7.33</v>
      </c>
      <c r="H4596" s="1528" t="s">
        <v>2877</v>
      </c>
      <c r="I4596" s="20">
        <v>1.04</v>
      </c>
      <c r="J4596" s="157"/>
      <c r="K4596" s="21">
        <f t="shared" si="61"/>
        <v>168.47272000000004</v>
      </c>
      <c r="L4596" s="157" t="s">
        <v>7</v>
      </c>
      <c r="M4596" s="419"/>
      <c r="N4596" s="671"/>
      <c r="O4596"/>
      <c r="P4596" s="412"/>
      <c r="Q4596" s="391"/>
      <c r="R4596" s="393"/>
    </row>
    <row r="4597" spans="1:21" ht="30" customHeight="1" x14ac:dyDescent="0.25">
      <c r="A4597" s="61" t="s">
        <v>782</v>
      </c>
      <c r="B4597" s="716" t="s">
        <v>2879</v>
      </c>
      <c r="C4597" s="717"/>
      <c r="D4597" s="718"/>
      <c r="E4597" s="405">
        <f>+(9.94+17.05)/2</f>
        <v>13.495000000000001</v>
      </c>
      <c r="F4597" s="157" t="s">
        <v>3</v>
      </c>
      <c r="G4597" s="794">
        <v>1.67</v>
      </c>
      <c r="H4597" s="1529" t="s">
        <v>857</v>
      </c>
      <c r="I4597" s="20">
        <v>1.04</v>
      </c>
      <c r="J4597" s="157"/>
      <c r="K4597" s="21">
        <f t="shared" si="61"/>
        <v>23.438116000000001</v>
      </c>
      <c r="L4597" s="61" t="s">
        <v>7</v>
      </c>
      <c r="M4597" s="419"/>
      <c r="N4597" s="671"/>
      <c r="O4597" s="43"/>
      <c r="P4597" s="672"/>
      <c r="Q4597" s="671"/>
      <c r="R4597" s="673"/>
    </row>
    <row r="4598" spans="1:21" ht="30" customHeight="1" x14ac:dyDescent="0.25">
      <c r="A4598" s="61" t="s">
        <v>782</v>
      </c>
      <c r="B4598" s="716" t="s">
        <v>2880</v>
      </c>
      <c r="C4598" s="717"/>
      <c r="D4598" s="718"/>
      <c r="E4598" s="405">
        <f>+(79+112)/2</f>
        <v>95.5</v>
      </c>
      <c r="F4598" s="157" t="s">
        <v>3</v>
      </c>
      <c r="G4598" s="794">
        <v>1.67</v>
      </c>
      <c r="H4598" s="1529" t="s">
        <v>857</v>
      </c>
      <c r="I4598" s="20">
        <v>1.04</v>
      </c>
      <c r="J4598" s="157"/>
      <c r="K4598" s="21">
        <f t="shared" si="61"/>
        <v>165.86439999999999</v>
      </c>
      <c r="L4598" s="157" t="s">
        <v>7</v>
      </c>
      <c r="M4598" s="419"/>
      <c r="N4598" s="420"/>
      <c r="O4598" s="43"/>
      <c r="P4598" s="672"/>
      <c r="Q4598" s="671"/>
      <c r="R4598" s="673"/>
    </row>
    <row r="4599" spans="1:21" ht="30" customHeight="1" x14ac:dyDescent="0.25">
      <c r="A4599" s="61" t="s">
        <v>782</v>
      </c>
      <c r="B4599" s="716" t="s">
        <v>2881</v>
      </c>
      <c r="C4599" s="717"/>
      <c r="D4599" s="718"/>
      <c r="E4599" s="405">
        <v>247</v>
      </c>
      <c r="F4599" s="157" t="s">
        <v>3</v>
      </c>
      <c r="G4599" s="794">
        <v>1.67</v>
      </c>
      <c r="H4599" s="1529" t="s">
        <v>857</v>
      </c>
      <c r="I4599" s="20">
        <v>1.04</v>
      </c>
      <c r="J4599" s="157"/>
      <c r="K4599" s="21">
        <f t="shared" si="61"/>
        <v>428.9896</v>
      </c>
      <c r="L4599" s="157" t="s">
        <v>7</v>
      </c>
      <c r="M4599" s="419"/>
      <c r="N4599" s="420"/>
      <c r="O4599" s="128"/>
      <c r="P4599" s="713"/>
      <c r="Q4599" s="712"/>
      <c r="R4599" s="714"/>
      <c r="S4599" s="128"/>
    </row>
    <row r="4600" spans="1:21" ht="30" customHeight="1" x14ac:dyDescent="0.25">
      <c r="A4600" s="61" t="s">
        <v>906</v>
      </c>
      <c r="B4600" s="716" t="s">
        <v>2882</v>
      </c>
      <c r="C4600" s="717"/>
      <c r="D4600" s="718"/>
      <c r="E4600" s="405">
        <v>0.16</v>
      </c>
      <c r="F4600" s="157" t="s">
        <v>9</v>
      </c>
      <c r="G4600" s="797">
        <v>25</v>
      </c>
      <c r="H4600" s="1529" t="s">
        <v>2772</v>
      </c>
      <c r="I4600" s="20">
        <v>1.04</v>
      </c>
      <c r="J4600" s="157"/>
      <c r="K4600" s="21">
        <f t="shared" si="61"/>
        <v>4.16</v>
      </c>
      <c r="L4600" s="157" t="s">
        <v>7</v>
      </c>
      <c r="M4600" s="425"/>
      <c r="N4600" s="420"/>
      <c r="P4600" s="43"/>
      <c r="Q4600" s="43"/>
      <c r="R4600" s="43"/>
      <c r="S4600" s="60"/>
      <c r="T4600" s="60"/>
      <c r="U4600" s="43"/>
    </row>
    <row r="4601" spans="1:21" ht="30" customHeight="1" x14ac:dyDescent="0.25">
      <c r="A4601" s="1334"/>
      <c r="B4601" s="236" t="s">
        <v>2883</v>
      </c>
      <c r="C4601" s="237"/>
      <c r="D4601" s="238"/>
      <c r="E4601" s="530"/>
      <c r="F4601" s="61"/>
      <c r="G4601" s="1326"/>
      <c r="H4601" s="61"/>
      <c r="I4601" s="61"/>
      <c r="J4601" s="61" t="s">
        <v>578</v>
      </c>
      <c r="K4601" s="530">
        <f>SUM(K4595:K4600)</f>
        <v>805.40553599999998</v>
      </c>
      <c r="L4601" s="157" t="s">
        <v>7</v>
      </c>
      <c r="M4601" s="419"/>
      <c r="N4601" s="1603"/>
      <c r="P4601" s="43"/>
      <c r="Q4601" s="43"/>
      <c r="R4601" s="43"/>
      <c r="S4601" s="60"/>
      <c r="T4601" s="60"/>
      <c r="U4601" s="43"/>
    </row>
    <row r="4602" spans="1:21" ht="30" customHeight="1" x14ac:dyDescent="0.25">
      <c r="A4602" s="61"/>
      <c r="B4602" s="498" t="s">
        <v>2884</v>
      </c>
      <c r="C4602" s="498"/>
      <c r="D4602" s="498"/>
      <c r="E4602" s="530"/>
      <c r="F4602" s="676" t="s">
        <v>533</v>
      </c>
      <c r="G4602" s="339" t="s">
        <v>534</v>
      </c>
      <c r="H4602" s="339"/>
      <c r="I4602" s="339"/>
      <c r="J4602" s="339"/>
      <c r="K4602" s="340">
        <v>1.07</v>
      </c>
      <c r="L4602" s="24"/>
      <c r="M4602" s="419"/>
      <c r="N4602" s="420"/>
      <c r="P4602" s="43"/>
      <c r="Q4602" s="43"/>
      <c r="R4602" s="43"/>
      <c r="S4602" s="60"/>
      <c r="T4602" s="60"/>
      <c r="U4602" s="43"/>
    </row>
    <row r="4603" spans="1:21" s="49" customFormat="1" ht="30" customHeight="1" x14ac:dyDescent="0.25">
      <c r="A4603" s="61"/>
      <c r="B4603" s="498"/>
      <c r="C4603" s="498"/>
      <c r="D4603" s="498"/>
      <c r="E4603" s="530"/>
      <c r="F4603" s="678"/>
      <c r="G4603" s="344" t="s">
        <v>535</v>
      </c>
      <c r="H4603" s="344"/>
      <c r="I4603" s="344"/>
      <c r="J4603" s="344"/>
      <c r="K4603" s="340">
        <v>1.02</v>
      </c>
      <c r="L4603" s="24"/>
      <c r="M4603" s="419"/>
      <c r="N4603" s="420"/>
      <c r="O4603" s="27"/>
      <c r="P4603" s="50"/>
      <c r="Q4603" s="50"/>
      <c r="R4603" s="50"/>
      <c r="S4603" s="212"/>
      <c r="T4603" s="212"/>
      <c r="U4603" s="50"/>
    </row>
    <row r="4604" spans="1:21" ht="30" customHeight="1" x14ac:dyDescent="0.25">
      <c r="A4604" s="61"/>
      <c r="B4604" s="61"/>
      <c r="C4604" s="63"/>
      <c r="D4604" s="63"/>
      <c r="E4604" s="63"/>
      <c r="F4604" s="63"/>
      <c r="G4604" s="522"/>
      <c r="H4604" s="18"/>
      <c r="I4604" s="18"/>
      <c r="J4604" s="20" t="s">
        <v>358</v>
      </c>
      <c r="K4604" s="23">
        <f>+K4601*K4602/K4603</f>
        <v>844.88619952941178</v>
      </c>
      <c r="L4604" s="61" t="s">
        <v>7</v>
      </c>
      <c r="M4604" s="670"/>
      <c r="N4604" s="420"/>
      <c r="P4604" s="43"/>
      <c r="Q4604" s="43"/>
      <c r="R4604" s="43"/>
      <c r="S4604" s="60"/>
      <c r="T4604" s="60"/>
      <c r="U4604" s="43"/>
    </row>
    <row r="4605" spans="1:21" ht="30" customHeight="1" thickBot="1" x14ac:dyDescent="0.3">
      <c r="A4605" s="61"/>
      <c r="B4605" s="61"/>
      <c r="C4605" s="63"/>
      <c r="D4605" s="63"/>
      <c r="E4605" s="63"/>
      <c r="F4605" s="63"/>
      <c r="G4605" s="413" t="s">
        <v>537</v>
      </c>
      <c r="H4605" s="18"/>
      <c r="I4605" s="18"/>
      <c r="J4605" s="361">
        <f>VLOOKUP(B4593,'Mil Cost Premiums for RUCs'!$A$4:$R$265,18,FALSE)</f>
        <v>1.0209999999999999</v>
      </c>
      <c r="K4605" s="23">
        <f>+K4604*J4605</f>
        <v>862.62880971952939</v>
      </c>
      <c r="L4605" s="61" t="s">
        <v>7</v>
      </c>
      <c r="M4605" s="670"/>
      <c r="N4605" s="420"/>
      <c r="P4605" s="43"/>
      <c r="Q4605" s="43"/>
      <c r="R4605" s="43"/>
      <c r="S4605" s="60"/>
      <c r="T4605" s="60"/>
      <c r="U4605" s="43"/>
    </row>
    <row r="4606" spans="1:21" ht="30" customHeight="1" thickBot="1" x14ac:dyDescent="0.3">
      <c r="A4606" s="76"/>
      <c r="B4606" s="77"/>
      <c r="C4606" s="77"/>
      <c r="D4606" s="77"/>
      <c r="E4606" s="77"/>
      <c r="F4606" s="77"/>
      <c r="G4606" s="77"/>
      <c r="H4606" s="77"/>
      <c r="I4606" s="77"/>
      <c r="J4606" s="77"/>
      <c r="K4606" s="77"/>
      <c r="L4606" s="78"/>
      <c r="M4606" s="419"/>
      <c r="N4606" s="671"/>
      <c r="P4606" s="43"/>
      <c r="Q4606" s="43"/>
      <c r="R4606" s="43"/>
      <c r="S4606" s="60"/>
      <c r="T4606" s="60"/>
      <c r="U4606" s="43"/>
    </row>
    <row r="4607" spans="1:21" ht="30" customHeight="1" x14ac:dyDescent="0.25">
      <c r="A4607" s="207" t="s">
        <v>288</v>
      </c>
      <c r="B4607" s="208">
        <v>8715</v>
      </c>
      <c r="C4607" s="209" t="s">
        <v>2885</v>
      </c>
      <c r="D4607" s="210"/>
      <c r="E4607" s="177" t="s">
        <v>291</v>
      </c>
      <c r="F4607" s="178" t="s">
        <v>249</v>
      </c>
      <c r="G4607" s="123" t="s">
        <v>375</v>
      </c>
      <c r="H4607" s="1639">
        <v>3</v>
      </c>
      <c r="I4607" s="177" t="s">
        <v>292</v>
      </c>
      <c r="J4607" s="38" t="s">
        <v>623</v>
      </c>
      <c r="K4607" s="39"/>
      <c r="L4607" s="40"/>
      <c r="M4607" s="419"/>
      <c r="N4607" s="671"/>
      <c r="P4607" s="43"/>
      <c r="Q4607" s="43"/>
      <c r="R4607" s="43"/>
      <c r="S4607" s="60"/>
      <c r="T4607" s="60"/>
      <c r="U4607" s="43"/>
    </row>
    <row r="4608" spans="1:21" ht="30" customHeight="1" x14ac:dyDescent="0.25">
      <c r="A4608" s="181" t="s">
        <v>517</v>
      </c>
      <c r="B4608" s="394" t="s">
        <v>560</v>
      </c>
      <c r="C4608" s="395"/>
      <c r="D4608" s="396"/>
      <c r="E4608" s="397" t="s">
        <v>519</v>
      </c>
      <c r="F4608" s="397" t="s">
        <v>561</v>
      </c>
      <c r="G4608" s="398" t="s">
        <v>562</v>
      </c>
      <c r="H4608" s="399"/>
      <c r="I4608" s="286" t="s">
        <v>702</v>
      </c>
      <c r="J4608" s="287"/>
      <c r="K4608" s="493" t="s">
        <v>521</v>
      </c>
      <c r="L4608" s="494"/>
      <c r="M4608" s="419"/>
      <c r="N4608" s="420"/>
      <c r="P4608" s="43"/>
      <c r="Q4608" s="43"/>
      <c r="R4608" s="43"/>
      <c r="S4608" s="60"/>
      <c r="T4608" s="60"/>
      <c r="U4608" s="43"/>
    </row>
    <row r="4609" spans="1:21" ht="30" customHeight="1" x14ac:dyDescent="0.25">
      <c r="A4609" s="1333">
        <v>83210</v>
      </c>
      <c r="B4609" s="402" t="s">
        <v>2886</v>
      </c>
      <c r="C4609" s="403"/>
      <c r="D4609" s="404"/>
      <c r="E4609" s="760">
        <v>23890</v>
      </c>
      <c r="F4609" s="22" t="s">
        <v>11</v>
      </c>
      <c r="G4609" s="1112">
        <v>0.20399999999999999</v>
      </c>
      <c r="H4609" s="758" t="s">
        <v>2887</v>
      </c>
      <c r="I4609" s="726">
        <f>+'MILCON Inflation Table'!$F$17</f>
        <v>0.9432470865927236</v>
      </c>
      <c r="J4609" s="727"/>
      <c r="K4609" s="776">
        <f>+E4609/G4609*I4609</f>
        <v>110461.63185637338</v>
      </c>
      <c r="L4609" s="22" t="s">
        <v>249</v>
      </c>
      <c r="N4609" s="420"/>
      <c r="P4609" s="43"/>
      <c r="Q4609" s="43"/>
      <c r="R4609" s="43"/>
      <c r="S4609" s="60"/>
      <c r="T4609" s="60"/>
      <c r="U4609" s="43"/>
    </row>
    <row r="4610" spans="1:21" ht="30" customHeight="1" x14ac:dyDescent="0.25">
      <c r="A4610" s="1333">
        <v>83210</v>
      </c>
      <c r="B4610" s="402" t="s">
        <v>2888</v>
      </c>
      <c r="C4610" s="403"/>
      <c r="D4610" s="404"/>
      <c r="E4610" s="760">
        <v>47810</v>
      </c>
      <c r="F4610" s="22" t="s">
        <v>11</v>
      </c>
      <c r="G4610" s="1112">
        <v>0.40699999999999997</v>
      </c>
      <c r="H4610" s="758" t="s">
        <v>2887</v>
      </c>
      <c r="I4610" s="726">
        <f>+'MILCON Inflation Table'!$F$17</f>
        <v>0.9432470865927236</v>
      </c>
      <c r="J4610" s="727"/>
      <c r="K4610" s="776">
        <f>+E4610/G4610*I4610</f>
        <v>110802.56316952854</v>
      </c>
      <c r="L4610" s="22" t="s">
        <v>249</v>
      </c>
      <c r="M4610" s="502"/>
      <c r="N4610" s="1603"/>
      <c r="P4610" s="43"/>
      <c r="Q4610" s="43"/>
      <c r="R4610" s="43"/>
      <c r="S4610" s="60"/>
      <c r="T4610" s="60"/>
      <c r="U4610" s="43"/>
    </row>
    <row r="4611" spans="1:21" ht="30" customHeight="1" x14ac:dyDescent="0.25">
      <c r="A4611" s="1333">
        <v>83210</v>
      </c>
      <c r="B4611" s="402" t="s">
        <v>2889</v>
      </c>
      <c r="C4611" s="403"/>
      <c r="D4611" s="404"/>
      <c r="E4611" s="760">
        <v>71900</v>
      </c>
      <c r="F4611" s="22" t="s">
        <v>11</v>
      </c>
      <c r="G4611" s="1112">
        <v>0.61099999999999999</v>
      </c>
      <c r="H4611" s="758" t="s">
        <v>2887</v>
      </c>
      <c r="I4611" s="726">
        <f>+'MILCON Inflation Table'!$F$17</f>
        <v>0.9432470865927236</v>
      </c>
      <c r="J4611" s="727"/>
      <c r="K4611" s="776">
        <f>+E4611/G4611*I4611</f>
        <v>110997.48858595225</v>
      </c>
      <c r="L4611" s="22" t="s">
        <v>249</v>
      </c>
      <c r="O4611" s="480"/>
      <c r="P4611" s="43"/>
      <c r="Q4611" s="43"/>
      <c r="R4611" s="43"/>
      <c r="S4611" s="60"/>
      <c r="T4611" s="60"/>
      <c r="U4611" s="43"/>
    </row>
    <row r="4612" spans="1:21" ht="30" customHeight="1" x14ac:dyDescent="0.25">
      <c r="A4612" s="1333">
        <v>83210</v>
      </c>
      <c r="B4612" s="402" t="s">
        <v>2890</v>
      </c>
      <c r="C4612" s="403"/>
      <c r="D4612" s="404"/>
      <c r="E4612" s="760">
        <v>95690</v>
      </c>
      <c r="F4612" s="22" t="s">
        <v>11</v>
      </c>
      <c r="G4612" s="962">
        <v>0.81399999999999995</v>
      </c>
      <c r="H4612" s="758" t="s">
        <v>2887</v>
      </c>
      <c r="I4612" s="726">
        <f>+'MILCON Inflation Table'!$F$17</f>
        <v>0.9432470865927236</v>
      </c>
      <c r="J4612" s="727"/>
      <c r="K4612" s="776">
        <f>+E4612/G4612*I4612</f>
        <v>110883.67778385471</v>
      </c>
      <c r="L4612" s="22" t="s">
        <v>249</v>
      </c>
      <c r="N4612" s="502"/>
      <c r="P4612" s="43"/>
      <c r="Q4612" s="43"/>
      <c r="R4612" s="43"/>
      <c r="S4612" s="60"/>
      <c r="T4612" s="60"/>
      <c r="U4612" s="43"/>
    </row>
    <row r="4613" spans="1:21" ht="30" customHeight="1" x14ac:dyDescent="0.25">
      <c r="A4613" s="18"/>
      <c r="B4613" s="191" t="s">
        <v>2891</v>
      </c>
      <c r="C4613" s="191"/>
      <c r="D4613" s="191"/>
      <c r="E4613" s="405"/>
      <c r="F4613" s="20"/>
      <c r="G4613" s="20"/>
      <c r="H4613" s="20"/>
      <c r="I4613" s="20"/>
      <c r="J4613" s="20" t="s">
        <v>536</v>
      </c>
      <c r="K4613" s="780">
        <f>AVERAGE(K4609:K4612)</f>
        <v>110786.34034892722</v>
      </c>
      <c r="L4613" s="22" t="s">
        <v>249</v>
      </c>
      <c r="N4613" s="1888"/>
      <c r="P4613" s="43"/>
      <c r="Q4613" s="43"/>
      <c r="R4613" s="43"/>
      <c r="S4613" s="60"/>
      <c r="T4613" s="60"/>
      <c r="U4613" s="43"/>
    </row>
    <row r="4614" spans="1:21" ht="30" customHeight="1" thickBot="1" x14ac:dyDescent="0.3">
      <c r="A4614" s="18"/>
      <c r="B4614" s="20"/>
      <c r="C4614" s="18"/>
      <c r="D4614" s="18"/>
      <c r="E4614" s="18"/>
      <c r="F4614" s="18"/>
      <c r="G4614" s="18"/>
      <c r="H4614" s="18" t="s">
        <v>2892</v>
      </c>
      <c r="I4614" s="18"/>
      <c r="J4614" s="185" t="s">
        <v>358</v>
      </c>
      <c r="K4614" s="602">
        <f>+K4613</f>
        <v>110786.34034892722</v>
      </c>
      <c r="L4614" s="22" t="s">
        <v>249</v>
      </c>
      <c r="N4614" s="1524"/>
    </row>
    <row r="4615" spans="1:21" ht="30" customHeight="1" thickBot="1" x14ac:dyDescent="0.3">
      <c r="A4615" s="76"/>
      <c r="B4615" s="77"/>
      <c r="C4615" s="77"/>
      <c r="D4615" s="77"/>
      <c r="E4615" s="77"/>
      <c r="F4615" s="77"/>
      <c r="G4615" s="77"/>
      <c r="H4615" s="77"/>
      <c r="I4615" s="77"/>
      <c r="J4615" s="77"/>
      <c r="K4615" s="77"/>
      <c r="L4615" s="78"/>
    </row>
    <row r="4616" spans="1:21" ht="30" customHeight="1" x14ac:dyDescent="0.25">
      <c r="A4616" s="306" t="s">
        <v>288</v>
      </c>
      <c r="B4616" s="418">
        <v>8721</v>
      </c>
      <c r="C4616" s="691" t="s">
        <v>2893</v>
      </c>
      <c r="D4616" s="692"/>
      <c r="E4616" s="540" t="s">
        <v>291</v>
      </c>
      <c r="F4616" s="541" t="s">
        <v>7</v>
      </c>
      <c r="G4616" s="123" t="s">
        <v>375</v>
      </c>
      <c r="H4616" s="600">
        <v>9053</v>
      </c>
      <c r="I4616" s="540" t="s">
        <v>292</v>
      </c>
      <c r="J4616" s="38" t="s">
        <v>883</v>
      </c>
      <c r="K4616" s="38"/>
      <c r="L4616" s="389"/>
      <c r="O4616" s="128"/>
      <c r="P4616" s="713"/>
      <c r="Q4616" s="712"/>
      <c r="R4616" s="714"/>
    </row>
    <row r="4617" spans="1:21" ht="30" customHeight="1" x14ac:dyDescent="0.25">
      <c r="A4617" s="695" t="s">
        <v>529</v>
      </c>
      <c r="B4617" s="543" t="s">
        <v>560</v>
      </c>
      <c r="C4617" s="544"/>
      <c r="D4617" s="545"/>
      <c r="E4617" s="546" t="s">
        <v>519</v>
      </c>
      <c r="F4617" s="546" t="s">
        <v>561</v>
      </c>
      <c r="G4617" s="547" t="s">
        <v>562</v>
      </c>
      <c r="H4617" s="548"/>
      <c r="I4617" s="424" t="s">
        <v>530</v>
      </c>
      <c r="J4617" s="424"/>
      <c r="K4617" s="493" t="s">
        <v>521</v>
      </c>
      <c r="L4617" s="494"/>
      <c r="O4617"/>
      <c r="P4617" s="412"/>
      <c r="Q4617" s="391"/>
      <c r="R4617" s="393"/>
    </row>
    <row r="4618" spans="1:21" ht="30" customHeight="1" x14ac:dyDescent="0.25">
      <c r="A4618" s="24" t="s">
        <v>2331</v>
      </c>
      <c r="B4618" s="1033" t="s">
        <v>2894</v>
      </c>
      <c r="C4618" s="1034"/>
      <c r="D4618" s="1035"/>
      <c r="E4618" s="696">
        <v>21.5</v>
      </c>
      <c r="F4618" s="5" t="s">
        <v>7</v>
      </c>
      <c r="G4618" s="697"/>
      <c r="H4618" s="698"/>
      <c r="I4618" s="355">
        <v>1.04</v>
      </c>
      <c r="J4618" s="10"/>
      <c r="K4618" s="699">
        <f>+E4618*I4618</f>
        <v>22.36</v>
      </c>
      <c r="L4618" s="10" t="s">
        <v>7</v>
      </c>
      <c r="O4618"/>
      <c r="P4618" s="412"/>
      <c r="Q4618" s="391"/>
      <c r="R4618" s="393"/>
    </row>
    <row r="4619" spans="1:21" s="49" customFormat="1" ht="30" customHeight="1" x14ac:dyDescent="0.25">
      <c r="A4619" s="24" t="s">
        <v>2331</v>
      </c>
      <c r="B4619" s="323" t="s">
        <v>2895</v>
      </c>
      <c r="C4619" s="324"/>
      <c r="D4619" s="325"/>
      <c r="E4619" s="700">
        <v>3.13</v>
      </c>
      <c r="F4619" s="5" t="s">
        <v>7</v>
      </c>
      <c r="G4619" s="697"/>
      <c r="H4619" s="698"/>
      <c r="I4619" s="10">
        <v>1.04</v>
      </c>
      <c r="J4619" s="10"/>
      <c r="K4619" s="699">
        <f>+E4619*I4619</f>
        <v>3.2551999999999999</v>
      </c>
      <c r="L4619" s="10" t="s">
        <v>7</v>
      </c>
      <c r="M4619" s="25"/>
      <c r="N4619" s="25"/>
      <c r="P4619" s="412"/>
      <c r="Q4619" s="391"/>
      <c r="R4619" s="393"/>
    </row>
    <row r="4620" spans="1:21" ht="30" customHeight="1" x14ac:dyDescent="0.25">
      <c r="A4620" s="24" t="s">
        <v>2331</v>
      </c>
      <c r="B4620" s="323" t="s">
        <v>2896</v>
      </c>
      <c r="C4620" s="324"/>
      <c r="D4620" s="325"/>
      <c r="E4620" s="700">
        <v>1330</v>
      </c>
      <c r="F4620" s="5" t="s">
        <v>11</v>
      </c>
      <c r="G4620" s="697">
        <v>1000</v>
      </c>
      <c r="H4620" s="698" t="s">
        <v>2897</v>
      </c>
      <c r="I4620" s="10">
        <v>1.04</v>
      </c>
      <c r="J4620" s="10"/>
      <c r="K4620" s="699">
        <f>+E4620/G4620*I4620</f>
        <v>1.3832000000000002</v>
      </c>
      <c r="L4620" s="10" t="s">
        <v>7</v>
      </c>
      <c r="O4620"/>
      <c r="P4620" s="412"/>
      <c r="Q4620" s="391"/>
      <c r="R4620" s="393"/>
    </row>
    <row r="4621" spans="1:21" ht="30" customHeight="1" x14ac:dyDescent="0.25">
      <c r="A4621" s="24" t="s">
        <v>2331</v>
      </c>
      <c r="B4621" s="346" t="s">
        <v>2898</v>
      </c>
      <c r="C4621" s="347"/>
      <c r="D4621" s="348"/>
      <c r="E4621" s="700">
        <f>+(10200+12200)/2*1.3</f>
        <v>14560</v>
      </c>
      <c r="F4621" s="5" t="s">
        <v>11</v>
      </c>
      <c r="G4621" s="697">
        <v>1000</v>
      </c>
      <c r="H4621" s="698" t="s">
        <v>2897</v>
      </c>
      <c r="I4621" s="10">
        <v>1.04</v>
      </c>
      <c r="J4621" s="10"/>
      <c r="K4621" s="699">
        <f>+E4621/G4621*I4621</f>
        <v>15.1424</v>
      </c>
      <c r="L4621" s="10" t="s">
        <v>7</v>
      </c>
      <c r="O4621"/>
      <c r="P4621" s="412"/>
      <c r="Q4621" s="391"/>
      <c r="R4621" s="393"/>
    </row>
    <row r="4622" spans="1:21" ht="30" customHeight="1" x14ac:dyDescent="0.25">
      <c r="A4622" s="24" t="s">
        <v>2331</v>
      </c>
      <c r="B4622" s="346" t="s">
        <v>2899</v>
      </c>
      <c r="C4622" s="347"/>
      <c r="D4622" s="348"/>
      <c r="E4622" s="700">
        <f>+(0.75+1.45)/2</f>
        <v>1.1000000000000001</v>
      </c>
      <c r="F4622" s="5" t="s">
        <v>9</v>
      </c>
      <c r="G4622" s="10">
        <v>8</v>
      </c>
      <c r="H4622" s="10" t="s">
        <v>2772</v>
      </c>
      <c r="I4622" s="10">
        <v>1.04</v>
      </c>
      <c r="J4622" s="10"/>
      <c r="K4622" s="1640">
        <f>+E4622*G4622*I4622</f>
        <v>9.152000000000001</v>
      </c>
      <c r="L4622" s="10" t="s">
        <v>7</v>
      </c>
      <c r="O4622"/>
      <c r="P4622" s="412"/>
      <c r="Q4622" s="391"/>
      <c r="R4622" s="393"/>
    </row>
    <row r="4623" spans="1:21" ht="30" customHeight="1" x14ac:dyDescent="0.25">
      <c r="A4623" s="24"/>
      <c r="B4623" s="334"/>
      <c r="C4623" s="335"/>
      <c r="D4623" s="336"/>
      <c r="E4623" s="700"/>
      <c r="F4623" s="5"/>
      <c r="G4623" s="697"/>
      <c r="H4623" s="1516" t="s">
        <v>2900</v>
      </c>
      <c r="I4623" s="1516"/>
      <c r="J4623" s="442"/>
      <c r="K4623" s="699">
        <f>SUM(K4618:K4622)</f>
        <v>51.2928</v>
      </c>
      <c r="L4623" s="10" t="s">
        <v>7</v>
      </c>
      <c r="O4623"/>
      <c r="P4623" s="412"/>
      <c r="Q4623" s="391"/>
      <c r="R4623" s="393"/>
    </row>
    <row r="4624" spans="1:21" s="128" customFormat="1" ht="30" customHeight="1" x14ac:dyDescent="0.25">
      <c r="A4624" s="24" t="s">
        <v>2331</v>
      </c>
      <c r="B4624" s="323" t="s">
        <v>2901</v>
      </c>
      <c r="C4624" s="324"/>
      <c r="D4624" s="325"/>
      <c r="E4624" s="700"/>
      <c r="F4624" s="5"/>
      <c r="G4624" s="1641">
        <v>-0.2</v>
      </c>
      <c r="H4624" s="1642"/>
      <c r="I4624" s="1643"/>
      <c r="J4624" s="1041"/>
      <c r="K4624" s="699">
        <f>+G4624*K4623</f>
        <v>-10.258560000000001</v>
      </c>
      <c r="L4624" s="5"/>
      <c r="M4624" s="25"/>
      <c r="N4624" s="25"/>
      <c r="O4624"/>
      <c r="P4624" s="412"/>
      <c r="Q4624" s="391"/>
      <c r="R4624" s="393"/>
      <c r="S4624"/>
    </row>
    <row r="4625" spans="1:19" s="128" customFormat="1" ht="30" customHeight="1" x14ac:dyDescent="0.25">
      <c r="A4625" s="24"/>
      <c r="B4625" s="334"/>
      <c r="C4625" s="335"/>
      <c r="D4625" s="336"/>
      <c r="E4625" s="700"/>
      <c r="F4625" s="5"/>
      <c r="G4625" s="697"/>
      <c r="H4625" s="1516" t="s">
        <v>2902</v>
      </c>
      <c r="I4625" s="1516"/>
      <c r="J4625" s="442"/>
      <c r="K4625" s="699">
        <f>SUM(K4623:K4624)</f>
        <v>41.034239999999997</v>
      </c>
      <c r="L4625" s="10" t="s">
        <v>7</v>
      </c>
      <c r="M4625" s="419"/>
      <c r="N4625" s="25"/>
      <c r="O4625"/>
      <c r="P4625" s="412"/>
      <c r="Q4625" s="391"/>
      <c r="R4625" s="393"/>
    </row>
    <row r="4626" spans="1:19" s="128" customFormat="1" ht="30" customHeight="1" x14ac:dyDescent="0.25">
      <c r="A4626" s="61"/>
      <c r="B4626" s="410"/>
      <c r="C4626" s="410"/>
      <c r="D4626" s="410"/>
      <c r="E4626" s="405"/>
      <c r="F4626" s="338" t="s">
        <v>533</v>
      </c>
      <c r="G4626" s="339" t="s">
        <v>534</v>
      </c>
      <c r="H4626" s="339"/>
      <c r="I4626" s="339"/>
      <c r="J4626" s="339"/>
      <c r="K4626" s="340">
        <v>1.07</v>
      </c>
      <c r="L4626" s="10"/>
      <c r="M4626" s="425"/>
      <c r="N4626" s="25"/>
      <c r="O4626"/>
      <c r="P4626" s="412"/>
      <c r="Q4626" s="391"/>
      <c r="R4626" s="393"/>
    </row>
    <row r="4627" spans="1:19" ht="30" customHeight="1" x14ac:dyDescent="0.25">
      <c r="A4627" s="61"/>
      <c r="B4627" s="410"/>
      <c r="C4627" s="410"/>
      <c r="D4627" s="410"/>
      <c r="E4627" s="405"/>
      <c r="F4627" s="343"/>
      <c r="G4627" s="344" t="s">
        <v>535</v>
      </c>
      <c r="H4627" s="344"/>
      <c r="I4627" s="344"/>
      <c r="J4627" s="344"/>
      <c r="K4627" s="340">
        <v>1.02</v>
      </c>
      <c r="L4627" s="10"/>
      <c r="N4627" s="1603"/>
      <c r="O4627" s="43"/>
      <c r="P4627" s="672"/>
      <c r="Q4627" s="671"/>
      <c r="R4627" s="673"/>
    </row>
    <row r="4628" spans="1:19" ht="30" customHeight="1" x14ac:dyDescent="0.25">
      <c r="A4628" s="64"/>
      <c r="B4628" s="10"/>
      <c r="C4628" s="13"/>
      <c r="D4628" s="13"/>
      <c r="E4628" s="13"/>
      <c r="F4628" s="13"/>
      <c r="G4628" s="13"/>
      <c r="H4628" s="13"/>
      <c r="I4628" s="13"/>
      <c r="J4628" s="10" t="s">
        <v>358</v>
      </c>
      <c r="K4628" s="915">
        <f>+K4625*K4626/K4627</f>
        <v>43.045722352941176</v>
      </c>
      <c r="L4628" s="10" t="s">
        <v>7</v>
      </c>
      <c r="M4628" s="419"/>
      <c r="N4628" s="420"/>
      <c r="O4628" s="43"/>
      <c r="P4628" s="672"/>
      <c r="Q4628" s="671"/>
      <c r="R4628" s="673"/>
    </row>
    <row r="4629" spans="1:19" ht="30" customHeight="1" x14ac:dyDescent="0.25">
      <c r="A4629" s="64"/>
      <c r="B4629" s="10"/>
      <c r="C4629" s="13"/>
      <c r="D4629" s="13"/>
      <c r="E4629" s="13"/>
      <c r="F4629" s="13"/>
      <c r="G4629" s="1613" t="s">
        <v>652</v>
      </c>
      <c r="H4629" s="13"/>
      <c r="I4629" s="13"/>
      <c r="J4629" s="361">
        <f>VLOOKUP(B4616,'Mil Cost Premiums for RUCs'!$A$4:$R$265,18,FALSE)</f>
        <v>1.0905505199999999</v>
      </c>
      <c r="K4629" s="915">
        <f>+K4628*J4629</f>
        <v>46.94353489577562</v>
      </c>
      <c r="L4629" s="10" t="s">
        <v>7</v>
      </c>
      <c r="M4629" s="1342"/>
      <c r="O4629" s="128"/>
      <c r="P4629" s="713"/>
      <c r="Q4629" s="712"/>
      <c r="R4629" s="714"/>
      <c r="S4629" s="128"/>
    </row>
    <row r="4630" spans="1:19" ht="30" customHeight="1" x14ac:dyDescent="0.25">
      <c r="A4630" s="580" t="s">
        <v>538</v>
      </c>
      <c r="B4630" s="532"/>
      <c r="C4630" s="532"/>
      <c r="D4630" s="532"/>
      <c r="E4630" s="532"/>
      <c r="F4630" s="532"/>
      <c r="G4630" s="532"/>
      <c r="H4630" s="532"/>
      <c r="I4630" s="532"/>
      <c r="J4630" s="532"/>
      <c r="K4630" s="532"/>
      <c r="L4630" s="533"/>
      <c r="M4630" s="419"/>
      <c r="N4630" s="420"/>
      <c r="O4630"/>
      <c r="P4630" s="412"/>
      <c r="Q4630" s="391"/>
      <c r="R4630" s="393"/>
    </row>
    <row r="4631" spans="1:19" ht="30" customHeight="1" x14ac:dyDescent="0.25">
      <c r="A4631" s="217" t="s">
        <v>539</v>
      </c>
      <c r="B4631" s="218"/>
      <c r="C4631" s="219"/>
      <c r="D4631" s="386" t="s">
        <v>2903</v>
      </c>
      <c r="E4631" s="849"/>
      <c r="F4631" s="849"/>
      <c r="G4631" s="849"/>
      <c r="H4631" s="849"/>
      <c r="I4631" s="849"/>
      <c r="J4631" s="849"/>
      <c r="K4631" s="849"/>
      <c r="L4631" s="850"/>
      <c r="M4631" s="419"/>
      <c r="N4631" s="1365"/>
      <c r="O4631"/>
      <c r="P4631" s="412"/>
      <c r="Q4631" s="391"/>
      <c r="R4631" s="393"/>
    </row>
    <row r="4632" spans="1:19" ht="30" customHeight="1" x14ac:dyDescent="0.25">
      <c r="A4632" s="217" t="s">
        <v>541</v>
      </c>
      <c r="B4632" s="218"/>
      <c r="C4632" s="219"/>
      <c r="D4632" s="386" t="s">
        <v>2904</v>
      </c>
      <c r="E4632" s="849"/>
      <c r="F4632" s="849"/>
      <c r="G4632" s="849"/>
      <c r="H4632" s="849"/>
      <c r="I4632" s="849"/>
      <c r="J4632" s="849"/>
      <c r="K4632" s="849"/>
      <c r="L4632" s="850"/>
      <c r="M4632" s="419"/>
      <c r="N4632" s="420"/>
      <c r="O4632"/>
      <c r="P4632" s="412"/>
      <c r="Q4632" s="391"/>
      <c r="R4632" s="393"/>
    </row>
    <row r="4633" spans="1:19" s="49" customFormat="1" ht="30" customHeight="1" x14ac:dyDescent="0.25">
      <c r="A4633" s="217" t="s">
        <v>543</v>
      </c>
      <c r="B4633" s="218"/>
      <c r="C4633" s="219"/>
      <c r="D4633" s="386" t="s">
        <v>2905</v>
      </c>
      <c r="E4633" s="849"/>
      <c r="F4633" s="849"/>
      <c r="G4633" s="849"/>
      <c r="H4633" s="849"/>
      <c r="I4633" s="849"/>
      <c r="J4633" s="849"/>
      <c r="K4633" s="849"/>
      <c r="L4633" s="850"/>
      <c r="M4633" s="419"/>
      <c r="N4633" s="420"/>
      <c r="P4633" s="412"/>
      <c r="Q4633" s="391"/>
      <c r="R4633" s="393"/>
    </row>
    <row r="4634" spans="1:19" ht="30" customHeight="1" x14ac:dyDescent="0.25">
      <c r="A4634" s="217" t="s">
        <v>546</v>
      </c>
      <c r="B4634" s="218"/>
      <c r="C4634" s="219"/>
      <c r="D4634" s="386" t="s">
        <v>2906</v>
      </c>
      <c r="E4634" s="849"/>
      <c r="F4634" s="849"/>
      <c r="G4634" s="849"/>
      <c r="H4634" s="849"/>
      <c r="I4634" s="849"/>
      <c r="J4634" s="849"/>
      <c r="K4634" s="849"/>
      <c r="L4634" s="850"/>
      <c r="M4634" s="670"/>
      <c r="N4634" s="420"/>
      <c r="O4634"/>
      <c r="P4634" s="412"/>
      <c r="Q4634" s="391"/>
      <c r="R4634" s="393"/>
    </row>
    <row r="4635" spans="1:19" ht="30" customHeight="1" x14ac:dyDescent="0.25">
      <c r="A4635" s="217" t="s">
        <v>548</v>
      </c>
      <c r="B4635" s="218"/>
      <c r="C4635" s="219"/>
      <c r="D4635" s="386" t="s">
        <v>2907</v>
      </c>
      <c r="E4635" s="849"/>
      <c r="F4635" s="849"/>
      <c r="G4635" s="849"/>
      <c r="H4635" s="849"/>
      <c r="I4635" s="849"/>
      <c r="J4635" s="849"/>
      <c r="K4635" s="849"/>
      <c r="L4635" s="850"/>
      <c r="M4635" s="670"/>
      <c r="N4635" s="420"/>
      <c r="O4635"/>
      <c r="P4635" s="412"/>
      <c r="Q4635" s="391"/>
      <c r="R4635" s="393"/>
    </row>
    <row r="4636" spans="1:19" s="128" customFormat="1" ht="30" customHeight="1" x14ac:dyDescent="0.25">
      <c r="A4636" s="217" t="s">
        <v>550</v>
      </c>
      <c r="B4636" s="218"/>
      <c r="C4636" s="219"/>
      <c r="D4636" s="386" t="s">
        <v>2441</v>
      </c>
      <c r="E4636" s="849"/>
      <c r="F4636" s="849"/>
      <c r="G4636" s="849"/>
      <c r="H4636" s="849"/>
      <c r="I4636" s="849"/>
      <c r="J4636" s="849"/>
      <c r="K4636" s="849"/>
      <c r="L4636" s="850"/>
      <c r="M4636" s="419"/>
      <c r="N4636" s="671"/>
      <c r="O4636"/>
      <c r="P4636" s="412"/>
      <c r="Q4636" s="391"/>
      <c r="R4636" s="393"/>
    </row>
    <row r="4637" spans="1:19" s="128" customFormat="1" ht="30" customHeight="1" x14ac:dyDescent="0.25">
      <c r="A4637" s="217" t="s">
        <v>552</v>
      </c>
      <c r="B4637" s="218"/>
      <c r="C4637" s="219"/>
      <c r="D4637" s="386" t="s">
        <v>2908</v>
      </c>
      <c r="E4637" s="849"/>
      <c r="F4637" s="849"/>
      <c r="G4637" s="849"/>
      <c r="H4637" s="849"/>
      <c r="I4637" s="849"/>
      <c r="J4637" s="849"/>
      <c r="K4637" s="849"/>
      <c r="L4637" s="850"/>
      <c r="M4637" s="419"/>
      <c r="N4637" s="671"/>
      <c r="O4637"/>
      <c r="P4637" s="412"/>
      <c r="Q4637" s="391"/>
      <c r="R4637" s="393"/>
      <c r="S4637"/>
    </row>
    <row r="4638" spans="1:19" ht="30" customHeight="1" x14ac:dyDescent="0.25">
      <c r="A4638" s="217" t="s">
        <v>553</v>
      </c>
      <c r="B4638" s="218"/>
      <c r="C4638" s="219"/>
      <c r="D4638" s="386" t="s">
        <v>554</v>
      </c>
      <c r="E4638" s="849"/>
      <c r="F4638" s="849"/>
      <c r="G4638" s="849"/>
      <c r="H4638" s="849"/>
      <c r="I4638" s="849"/>
      <c r="J4638" s="849"/>
      <c r="K4638" s="849"/>
      <c r="L4638" s="850"/>
      <c r="M4638" s="419"/>
      <c r="N4638" s="420"/>
      <c r="O4638"/>
      <c r="P4638" s="412"/>
      <c r="Q4638" s="391"/>
      <c r="R4638" s="393"/>
    </row>
    <row r="4639" spans="1:19" ht="33.75" customHeight="1" thickBot="1" x14ac:dyDescent="0.3">
      <c r="A4639" s="1282" t="s">
        <v>556</v>
      </c>
      <c r="B4639" s="1283"/>
      <c r="C4639" s="1284"/>
      <c r="D4639" s="386" t="s">
        <v>2909</v>
      </c>
      <c r="E4639" s="849"/>
      <c r="F4639" s="849"/>
      <c r="G4639" s="849"/>
      <c r="H4639" s="849"/>
      <c r="I4639" s="849"/>
      <c r="J4639" s="849"/>
      <c r="K4639" s="849"/>
      <c r="L4639" s="850"/>
      <c r="M4639" s="419"/>
      <c r="N4639" s="420"/>
      <c r="O4639"/>
      <c r="P4639" s="412"/>
      <c r="Q4639" s="391"/>
      <c r="R4639" s="393"/>
    </row>
    <row r="4640" spans="1:19" ht="30" customHeight="1" thickBot="1" x14ac:dyDescent="0.3">
      <c r="A4640" s="76"/>
      <c r="B4640" s="77"/>
      <c r="C4640" s="77"/>
      <c r="D4640" s="77"/>
      <c r="E4640" s="77"/>
      <c r="F4640" s="77"/>
      <c r="G4640" s="77"/>
      <c r="H4640" s="77"/>
      <c r="I4640" s="77"/>
      <c r="J4640" s="77"/>
      <c r="K4640" s="77"/>
      <c r="L4640" s="78"/>
      <c r="M4640" s="425"/>
      <c r="N4640" s="1603"/>
      <c r="O4640"/>
      <c r="P4640" s="412"/>
      <c r="Q4640" s="391"/>
      <c r="R4640" s="393"/>
    </row>
    <row r="4641" spans="1:19" ht="30" customHeight="1" x14ac:dyDescent="0.25">
      <c r="A4641" s="306" t="s">
        <v>288</v>
      </c>
      <c r="B4641" s="418">
        <v>8722</v>
      </c>
      <c r="C4641" s="1377" t="s">
        <v>2910</v>
      </c>
      <c r="D4641" s="1378"/>
      <c r="E4641" s="540" t="s">
        <v>291</v>
      </c>
      <c r="F4641" s="541" t="s">
        <v>7</v>
      </c>
      <c r="G4641" s="123" t="s">
        <v>375</v>
      </c>
      <c r="H4641" s="600">
        <v>5842</v>
      </c>
      <c r="I4641" s="540" t="s">
        <v>292</v>
      </c>
      <c r="J4641" s="38" t="s">
        <v>883</v>
      </c>
      <c r="K4641" s="38"/>
      <c r="L4641" s="389"/>
      <c r="M4641" s="419"/>
      <c r="N4641" s="420"/>
      <c r="O4641"/>
      <c r="P4641" s="412"/>
      <c r="Q4641" s="391"/>
      <c r="R4641" s="393"/>
    </row>
    <row r="4642" spans="1:19" s="49" customFormat="1" ht="30" customHeight="1" x14ac:dyDescent="0.25">
      <c r="A4642" s="695" t="s">
        <v>529</v>
      </c>
      <c r="B4642" s="543" t="s">
        <v>560</v>
      </c>
      <c r="C4642" s="544"/>
      <c r="D4642" s="545"/>
      <c r="E4642" s="546" t="s">
        <v>519</v>
      </c>
      <c r="F4642" s="546" t="s">
        <v>561</v>
      </c>
      <c r="G4642" s="547" t="s">
        <v>562</v>
      </c>
      <c r="H4642" s="548"/>
      <c r="I4642" s="424" t="s">
        <v>530</v>
      </c>
      <c r="J4642" s="424"/>
      <c r="K4642" s="493" t="s">
        <v>521</v>
      </c>
      <c r="L4642" s="494"/>
      <c r="M4642" s="419"/>
      <c r="N4642" s="420"/>
      <c r="P4642" s="412"/>
      <c r="Q4642" s="391"/>
      <c r="R4642" s="393"/>
    </row>
    <row r="4643" spans="1:19" ht="30" customHeight="1" x14ac:dyDescent="0.25">
      <c r="A4643" s="345" t="s">
        <v>2331</v>
      </c>
      <c r="B4643" s="1033" t="s">
        <v>2911</v>
      </c>
      <c r="C4643" s="1034"/>
      <c r="D4643" s="1035"/>
      <c r="E4643" s="1644">
        <v>36</v>
      </c>
      <c r="F4643" s="1595" t="s">
        <v>7</v>
      </c>
      <c r="G4643" s="1645"/>
      <c r="H4643" s="1596"/>
      <c r="I4643" s="355">
        <v>1.04</v>
      </c>
      <c r="J4643" s="355"/>
      <c r="K4643" s="1646">
        <f>+E4643*I4643</f>
        <v>37.44</v>
      </c>
      <c r="L4643" s="1595" t="s">
        <v>7</v>
      </c>
      <c r="M4643" s="419"/>
      <c r="N4643" s="420"/>
      <c r="O4643"/>
      <c r="P4643" s="412"/>
      <c r="Q4643" s="391"/>
      <c r="R4643" s="393"/>
    </row>
    <row r="4644" spans="1:19" ht="30" customHeight="1" x14ac:dyDescent="0.25">
      <c r="A4644" s="24" t="s">
        <v>2331</v>
      </c>
      <c r="B4644" s="323" t="s">
        <v>2895</v>
      </c>
      <c r="C4644" s="324"/>
      <c r="D4644" s="325"/>
      <c r="E4644" s="700">
        <v>3.13</v>
      </c>
      <c r="F4644" s="5" t="s">
        <v>7</v>
      </c>
      <c r="G4644" s="697"/>
      <c r="H4644" s="698"/>
      <c r="I4644" s="10">
        <v>1.04</v>
      </c>
      <c r="J4644" s="10"/>
      <c r="K4644" s="699">
        <f>+E4644*I4644</f>
        <v>3.2551999999999999</v>
      </c>
      <c r="L4644" s="5" t="s">
        <v>7</v>
      </c>
      <c r="M4644" s="419"/>
      <c r="N4644" s="420"/>
      <c r="O4644"/>
      <c r="P4644" s="412"/>
      <c r="Q4644" s="391"/>
      <c r="R4644" s="393"/>
      <c r="S4644" s="128"/>
    </row>
    <row r="4645" spans="1:19" ht="15" x14ac:dyDescent="0.25">
      <c r="A4645" s="24" t="s">
        <v>2331</v>
      </c>
      <c r="B4645" s="323" t="s">
        <v>2912</v>
      </c>
      <c r="C4645" s="324"/>
      <c r="D4645" s="325"/>
      <c r="E4645" s="700">
        <v>11.4</v>
      </c>
      <c r="F4645" s="5" t="s">
        <v>7</v>
      </c>
      <c r="G4645" s="697"/>
      <c r="H4645" s="698"/>
      <c r="I4645" s="10">
        <v>1.04</v>
      </c>
      <c r="J4645" s="10"/>
      <c r="K4645" s="699">
        <f>+E4645*I4645</f>
        <v>11.856000000000002</v>
      </c>
      <c r="L4645" s="5" t="s">
        <v>7</v>
      </c>
      <c r="M4645" s="419"/>
      <c r="N4645" s="420"/>
      <c r="O4645"/>
      <c r="P4645" s="412"/>
      <c r="Q4645" s="391"/>
      <c r="R4645" s="393"/>
      <c r="S4645" s="128"/>
    </row>
    <row r="4646" spans="1:19" s="128" customFormat="1" ht="30" customHeight="1" x14ac:dyDescent="0.25">
      <c r="A4646" s="24" t="s">
        <v>2331</v>
      </c>
      <c r="B4646" s="323" t="s">
        <v>2913</v>
      </c>
      <c r="C4646" s="324"/>
      <c r="D4646" s="325"/>
      <c r="E4646" s="700">
        <v>1680</v>
      </c>
      <c r="F4646" s="5" t="s">
        <v>11</v>
      </c>
      <c r="G4646" s="1647">
        <v>1000</v>
      </c>
      <c r="H4646" s="698" t="s">
        <v>2897</v>
      </c>
      <c r="I4646" s="10">
        <v>1.04</v>
      </c>
      <c r="J4646" s="10"/>
      <c r="K4646" s="699">
        <f>+E4646/G4646*I4646</f>
        <v>1.7472000000000001</v>
      </c>
      <c r="L4646" s="5" t="s">
        <v>7</v>
      </c>
      <c r="M4646" s="419"/>
      <c r="N4646" s="420"/>
      <c r="P4646" s="713"/>
      <c r="Q4646" s="712"/>
      <c r="R4646" s="714"/>
      <c r="S4646"/>
    </row>
    <row r="4647" spans="1:19" s="128" customFormat="1" ht="30" customHeight="1" x14ac:dyDescent="0.25">
      <c r="A4647" s="24" t="s">
        <v>2331</v>
      </c>
      <c r="B4647" s="346" t="s">
        <v>2914</v>
      </c>
      <c r="C4647" s="347"/>
      <c r="D4647" s="348"/>
      <c r="E4647" s="700">
        <f>+(10200+12200)/2*1.3</f>
        <v>14560</v>
      </c>
      <c r="F4647" s="5" t="s">
        <v>11</v>
      </c>
      <c r="G4647" s="1647">
        <v>1000</v>
      </c>
      <c r="H4647" s="698" t="s">
        <v>2897</v>
      </c>
      <c r="I4647" s="10">
        <v>1.04</v>
      </c>
      <c r="J4647" s="10"/>
      <c r="K4647" s="699">
        <f>+E4647/G4647*I4647</f>
        <v>15.1424</v>
      </c>
      <c r="L4647" s="5" t="s">
        <v>7</v>
      </c>
      <c r="M4647" s="419"/>
      <c r="N4647" s="420"/>
      <c r="P4647" s="713"/>
      <c r="Q4647" s="712"/>
      <c r="R4647" s="714"/>
      <c r="S4647"/>
    </row>
    <row r="4648" spans="1:19" s="128" customFormat="1" ht="30" customHeight="1" x14ac:dyDescent="0.25">
      <c r="A4648" s="24" t="s">
        <v>2331</v>
      </c>
      <c r="B4648" s="346" t="s">
        <v>2915</v>
      </c>
      <c r="C4648" s="347"/>
      <c r="D4648" s="348"/>
      <c r="E4648" s="700">
        <v>13.2</v>
      </c>
      <c r="F4648" s="5" t="s">
        <v>7</v>
      </c>
      <c r="G4648" s="697"/>
      <c r="H4648" s="698"/>
      <c r="I4648" s="10">
        <v>1.04</v>
      </c>
      <c r="J4648" s="10"/>
      <c r="K4648" s="699">
        <f>+E4648*I4648</f>
        <v>13.728</v>
      </c>
      <c r="L4648" s="5" t="s">
        <v>7</v>
      </c>
      <c r="M4648" s="419"/>
      <c r="N4648" s="420"/>
      <c r="P4648" s="713"/>
      <c r="Q4648" s="712"/>
      <c r="R4648" s="714"/>
      <c r="S4648"/>
    </row>
    <row r="4649" spans="1:19" s="128" customFormat="1" ht="30" customHeight="1" x14ac:dyDescent="0.25">
      <c r="A4649" s="64"/>
      <c r="B4649" s="551"/>
      <c r="C4649" s="551"/>
      <c r="D4649" s="551"/>
      <c r="E4649" s="326"/>
      <c r="F4649" s="10"/>
      <c r="G4649" s="10"/>
      <c r="H4649" s="10"/>
      <c r="I4649" s="10"/>
      <c r="J4649" s="10" t="s">
        <v>646</v>
      </c>
      <c r="K4649" s="706">
        <f>SUM(K4643:K4648)</f>
        <v>83.16879999999999</v>
      </c>
      <c r="L4649" s="10" t="s">
        <v>7</v>
      </c>
      <c r="M4649" s="425"/>
      <c r="N4649" s="420"/>
      <c r="P4649" s="713"/>
      <c r="Q4649" s="712"/>
      <c r="R4649" s="714"/>
      <c r="S4649"/>
    </row>
    <row r="4650" spans="1:19" s="128" customFormat="1" ht="30" customHeight="1" x14ac:dyDescent="0.25">
      <c r="A4650" s="64"/>
      <c r="B4650" s="346" t="s">
        <v>2916</v>
      </c>
      <c r="C4650" s="347"/>
      <c r="D4650" s="348"/>
      <c r="E4650" s="326"/>
      <c r="F4650" s="10"/>
      <c r="G4650" s="10"/>
      <c r="H4650" s="10"/>
      <c r="I4650" s="10"/>
      <c r="J4650" s="10"/>
      <c r="K4650" s="706">
        <f>+K4649*0.85</f>
        <v>70.693479999999994</v>
      </c>
      <c r="L4650" s="10" t="s">
        <v>7</v>
      </c>
      <c r="M4650" s="419"/>
      <c r="N4650" s="420"/>
      <c r="P4650" s="713"/>
      <c r="Q4650" s="712"/>
      <c r="R4650" s="714"/>
      <c r="S4650"/>
    </row>
    <row r="4651" spans="1:19" ht="30" customHeight="1" x14ac:dyDescent="0.25">
      <c r="A4651" s="61"/>
      <c r="B4651" s="410"/>
      <c r="C4651" s="410"/>
      <c r="D4651" s="410"/>
      <c r="E4651" s="405"/>
      <c r="F4651" s="338" t="s">
        <v>533</v>
      </c>
      <c r="G4651" s="339" t="s">
        <v>534</v>
      </c>
      <c r="H4651" s="339"/>
      <c r="I4651" s="339"/>
      <c r="J4651" s="339"/>
      <c r="K4651" s="340">
        <v>1.07</v>
      </c>
      <c r="L4651" s="10"/>
      <c r="M4651" s="419"/>
      <c r="N4651" s="420"/>
      <c r="O4651" s="43"/>
      <c r="P4651" s="672"/>
      <c r="Q4651" s="671"/>
      <c r="R4651" s="673"/>
    </row>
    <row r="4652" spans="1:19" ht="30" customHeight="1" x14ac:dyDescent="0.25">
      <c r="A4652" s="61"/>
      <c r="B4652" s="410"/>
      <c r="C4652" s="410"/>
      <c r="D4652" s="410"/>
      <c r="E4652" s="405"/>
      <c r="F4652" s="343"/>
      <c r="G4652" s="344" t="s">
        <v>535</v>
      </c>
      <c r="H4652" s="344"/>
      <c r="I4652" s="344"/>
      <c r="J4652" s="344"/>
      <c r="K4652" s="340">
        <v>1.02</v>
      </c>
      <c r="L4652" s="10"/>
      <c r="M4652" s="419"/>
      <c r="N4652" s="420"/>
      <c r="O4652" s="43"/>
      <c r="P4652" s="672"/>
      <c r="Q4652" s="671"/>
      <c r="R4652" s="673"/>
    </row>
    <row r="4653" spans="1:19" s="128" customFormat="1" ht="30" customHeight="1" x14ac:dyDescent="0.25">
      <c r="A4653" s="64"/>
      <c r="B4653" s="10"/>
      <c r="C4653" s="13"/>
      <c r="D4653" s="13"/>
      <c r="E4653" s="13"/>
      <c r="F4653" s="13"/>
      <c r="G4653" s="13"/>
      <c r="H4653" s="13"/>
      <c r="I4653" s="13"/>
      <c r="J4653" s="10" t="s">
        <v>358</v>
      </c>
      <c r="K4653" s="915">
        <f>+K4650*K4651/K4652</f>
        <v>74.158846666666662</v>
      </c>
      <c r="L4653" s="10" t="s">
        <v>7</v>
      </c>
      <c r="M4653" s="419"/>
      <c r="N4653" s="420"/>
      <c r="P4653" s="713"/>
      <c r="Q4653" s="712"/>
      <c r="R4653" s="714"/>
      <c r="S4653"/>
    </row>
    <row r="4654" spans="1:19" s="128" customFormat="1" ht="30" customHeight="1" x14ac:dyDescent="0.25">
      <c r="A4654" s="64"/>
      <c r="B4654" s="10"/>
      <c r="C4654" s="13"/>
      <c r="D4654" s="13"/>
      <c r="E4654" s="13"/>
      <c r="F4654" s="13"/>
      <c r="G4654" s="573" t="s">
        <v>652</v>
      </c>
      <c r="H4654" s="13"/>
      <c r="I4654" s="13"/>
      <c r="J4654" s="361">
        <f>VLOOKUP(B4641,'Mil Cost Premiums for RUCs'!$A$4:$R$265,18,FALSE)</f>
        <v>1.0905505199999999</v>
      </c>
      <c r="K4654" s="14">
        <f>+K4653*J4654</f>
        <v>80.873968794933589</v>
      </c>
      <c r="L4654" s="10" t="s">
        <v>7</v>
      </c>
      <c r="M4654" s="419"/>
      <c r="N4654" s="420"/>
      <c r="P4654" s="713"/>
      <c r="Q4654" s="712"/>
      <c r="R4654" s="714"/>
      <c r="S4654"/>
    </row>
    <row r="4655" spans="1:19" s="128" customFormat="1" ht="30" customHeight="1" x14ac:dyDescent="0.25">
      <c r="A4655" s="580" t="s">
        <v>538</v>
      </c>
      <c r="B4655" s="532"/>
      <c r="C4655" s="532"/>
      <c r="D4655" s="532"/>
      <c r="E4655" s="532"/>
      <c r="F4655" s="532"/>
      <c r="G4655" s="532"/>
      <c r="H4655" s="532"/>
      <c r="I4655" s="532"/>
      <c r="J4655" s="532"/>
      <c r="K4655" s="532"/>
      <c r="L4655" s="533"/>
      <c r="M4655" s="419"/>
      <c r="N4655" s="420"/>
      <c r="P4655" s="713"/>
      <c r="Q4655" s="712"/>
      <c r="R4655" s="714"/>
      <c r="S4655"/>
    </row>
    <row r="4656" spans="1:19" s="1499" customFormat="1" ht="30" customHeight="1" x14ac:dyDescent="0.25">
      <c r="A4656" s="217" t="s">
        <v>539</v>
      </c>
      <c r="B4656" s="218"/>
      <c r="C4656" s="219"/>
      <c r="D4656" s="386" t="s">
        <v>2917</v>
      </c>
      <c r="E4656" s="849"/>
      <c r="F4656" s="849"/>
      <c r="G4656" s="849"/>
      <c r="H4656" s="849"/>
      <c r="I4656" s="849"/>
      <c r="J4656" s="849"/>
      <c r="K4656" s="849"/>
      <c r="L4656" s="850"/>
      <c r="M4656" s="419"/>
      <c r="N4656" s="420"/>
      <c r="P4656" s="1648"/>
      <c r="Q4656" s="1649"/>
      <c r="R4656" s="1650"/>
      <c r="S4656" s="27"/>
    </row>
    <row r="4657" spans="1:19" s="128" customFormat="1" ht="30" customHeight="1" x14ac:dyDescent="0.25">
      <c r="A4657" s="217" t="s">
        <v>541</v>
      </c>
      <c r="B4657" s="218"/>
      <c r="C4657" s="219"/>
      <c r="D4657" s="386" t="s">
        <v>2918</v>
      </c>
      <c r="E4657" s="849"/>
      <c r="F4657" s="849"/>
      <c r="G4657" s="849"/>
      <c r="H4657" s="849"/>
      <c r="I4657" s="849"/>
      <c r="J4657" s="849"/>
      <c r="K4657" s="849"/>
      <c r="L4657" s="850"/>
      <c r="M4657" s="419"/>
      <c r="N4657" s="1603"/>
      <c r="P4657" s="713"/>
      <c r="Q4657" s="712"/>
      <c r="R4657" s="714"/>
      <c r="S4657"/>
    </row>
    <row r="4658" spans="1:19" s="128" customFormat="1" ht="30" customHeight="1" x14ac:dyDescent="0.25">
      <c r="A4658" s="217" t="s">
        <v>543</v>
      </c>
      <c r="B4658" s="218"/>
      <c r="C4658" s="219"/>
      <c r="D4658" s="386" t="s">
        <v>2919</v>
      </c>
      <c r="E4658" s="849"/>
      <c r="F4658" s="849"/>
      <c r="G4658" s="849"/>
      <c r="H4658" s="849"/>
      <c r="I4658" s="849"/>
      <c r="J4658" s="849"/>
      <c r="K4658" s="849"/>
      <c r="L4658" s="850"/>
      <c r="M4658" s="670"/>
      <c r="N4658" s="1603"/>
      <c r="P4658" s="713"/>
      <c r="Q4658" s="712"/>
      <c r="R4658" s="714"/>
      <c r="S4658"/>
    </row>
    <row r="4659" spans="1:19" s="128" customFormat="1" ht="30" customHeight="1" x14ac:dyDescent="0.25">
      <c r="A4659" s="217" t="s">
        <v>546</v>
      </c>
      <c r="B4659" s="218"/>
      <c r="C4659" s="219"/>
      <c r="D4659" s="386" t="s">
        <v>2920</v>
      </c>
      <c r="E4659" s="849"/>
      <c r="F4659" s="849"/>
      <c r="G4659" s="849"/>
      <c r="H4659" s="849"/>
      <c r="I4659" s="849"/>
      <c r="J4659" s="849"/>
      <c r="K4659" s="849"/>
      <c r="L4659" s="850"/>
      <c r="M4659" s="670"/>
      <c r="N4659" s="1603"/>
      <c r="P4659" s="713"/>
      <c r="Q4659" s="712"/>
      <c r="R4659" s="714"/>
      <c r="S4659"/>
    </row>
    <row r="4660" spans="1:19" s="128" customFormat="1" ht="30" customHeight="1" x14ac:dyDescent="0.25">
      <c r="A4660" s="217" t="s">
        <v>548</v>
      </c>
      <c r="B4660" s="218"/>
      <c r="C4660" s="219"/>
      <c r="D4660" s="386" t="s">
        <v>2907</v>
      </c>
      <c r="E4660" s="849"/>
      <c r="F4660" s="849"/>
      <c r="G4660" s="849"/>
      <c r="H4660" s="849"/>
      <c r="I4660" s="849"/>
      <c r="J4660" s="849"/>
      <c r="K4660" s="849"/>
      <c r="L4660" s="850"/>
      <c r="M4660" s="419"/>
      <c r="N4660" s="671"/>
      <c r="P4660" s="713"/>
      <c r="Q4660" s="712"/>
      <c r="R4660" s="714"/>
      <c r="S4660"/>
    </row>
    <row r="4661" spans="1:19" s="128" customFormat="1" ht="30" customHeight="1" x14ac:dyDescent="0.25">
      <c r="A4661" s="217" t="s">
        <v>550</v>
      </c>
      <c r="B4661" s="218"/>
      <c r="C4661" s="219"/>
      <c r="D4661" s="386" t="s">
        <v>2441</v>
      </c>
      <c r="E4661" s="849"/>
      <c r="F4661" s="849"/>
      <c r="G4661" s="849"/>
      <c r="H4661" s="849"/>
      <c r="I4661" s="849"/>
      <c r="J4661" s="849"/>
      <c r="K4661" s="849"/>
      <c r="L4661" s="850"/>
      <c r="M4661" s="419"/>
      <c r="N4661" s="671"/>
      <c r="P4661" s="713"/>
      <c r="Q4661" s="712"/>
      <c r="R4661" s="714"/>
      <c r="S4661"/>
    </row>
    <row r="4662" spans="1:19" s="128" customFormat="1" ht="30" customHeight="1" x14ac:dyDescent="0.25">
      <c r="A4662" s="217" t="s">
        <v>552</v>
      </c>
      <c r="B4662" s="218"/>
      <c r="C4662" s="219"/>
      <c r="D4662" s="386" t="s">
        <v>2921</v>
      </c>
      <c r="E4662" s="849"/>
      <c r="F4662" s="849"/>
      <c r="G4662" s="849"/>
      <c r="H4662" s="849"/>
      <c r="I4662" s="849"/>
      <c r="J4662" s="849"/>
      <c r="K4662" s="849"/>
      <c r="L4662" s="850"/>
      <c r="M4662" s="419"/>
      <c r="N4662" s="1603"/>
      <c r="P4662" s="713"/>
      <c r="Q4662" s="712"/>
      <c r="R4662" s="714"/>
      <c r="S4662"/>
    </row>
    <row r="4663" spans="1:19" ht="15" x14ac:dyDescent="0.25">
      <c r="A4663" s="217" t="s">
        <v>553</v>
      </c>
      <c r="B4663" s="218"/>
      <c r="C4663" s="219"/>
      <c r="D4663" s="386" t="s">
        <v>554</v>
      </c>
      <c r="E4663" s="849"/>
      <c r="F4663" s="849"/>
      <c r="G4663" s="849"/>
      <c r="H4663" s="849"/>
      <c r="I4663" s="849"/>
      <c r="J4663" s="849"/>
      <c r="K4663" s="849"/>
      <c r="L4663" s="850"/>
      <c r="M4663" s="1923"/>
      <c r="N4663" s="1603"/>
      <c r="O4663"/>
      <c r="P4663" s="412"/>
      <c r="Q4663" s="391"/>
      <c r="R4663" s="393"/>
    </row>
    <row r="4664" spans="1:19" ht="36" customHeight="1" thickBot="1" x14ac:dyDescent="0.3">
      <c r="A4664" s="1282" t="s">
        <v>556</v>
      </c>
      <c r="B4664" s="1283"/>
      <c r="C4664" s="1284"/>
      <c r="D4664" s="386" t="s">
        <v>2922</v>
      </c>
      <c r="E4664" s="849"/>
      <c r="F4664" s="849"/>
      <c r="G4664" s="849"/>
      <c r="H4664" s="849"/>
      <c r="I4664" s="849"/>
      <c r="J4664" s="849"/>
      <c r="K4664" s="849"/>
      <c r="L4664" s="850"/>
      <c r="M4664" s="419"/>
      <c r="N4664" s="1603"/>
      <c r="O4664"/>
      <c r="P4664" s="412"/>
      <c r="Q4664" s="391"/>
      <c r="R4664" s="393"/>
    </row>
    <row r="4665" spans="1:19" ht="30" customHeight="1" thickBot="1" x14ac:dyDescent="0.3">
      <c r="A4665" s="76"/>
      <c r="B4665" s="77"/>
      <c r="C4665" s="77"/>
      <c r="D4665" s="77"/>
      <c r="E4665" s="77"/>
      <c r="F4665" s="77"/>
      <c r="G4665" s="77"/>
      <c r="H4665" s="77"/>
      <c r="I4665" s="77"/>
      <c r="J4665" s="77"/>
      <c r="K4665" s="77"/>
      <c r="L4665" s="78"/>
      <c r="M4665" s="419"/>
      <c r="N4665" s="1491"/>
      <c r="O4665"/>
      <c r="P4665" s="412"/>
      <c r="Q4665" s="391"/>
      <c r="R4665" s="393"/>
    </row>
    <row r="4666" spans="1:19" ht="30" customHeight="1" x14ac:dyDescent="0.25">
      <c r="A4666" s="207" t="s">
        <v>288</v>
      </c>
      <c r="B4666" s="208">
        <v>8813</v>
      </c>
      <c r="C4666" s="209" t="s">
        <v>2923</v>
      </c>
      <c r="D4666" s="210"/>
      <c r="E4666" s="177" t="s">
        <v>291</v>
      </c>
      <c r="F4666" s="178" t="s">
        <v>7</v>
      </c>
      <c r="G4666" s="123" t="s">
        <v>375</v>
      </c>
      <c r="H4666" s="179" t="s">
        <v>2924</v>
      </c>
      <c r="I4666" s="177" t="s">
        <v>292</v>
      </c>
      <c r="J4666" s="38" t="s">
        <v>883</v>
      </c>
      <c r="K4666" s="38"/>
      <c r="L4666" s="389"/>
      <c r="M4666" s="419"/>
      <c r="N4666" s="1603"/>
      <c r="O4666"/>
      <c r="P4666" s="412"/>
      <c r="Q4666" s="391"/>
      <c r="R4666" s="393"/>
    </row>
    <row r="4667" spans="1:19" s="49" customFormat="1" ht="30" customHeight="1" x14ac:dyDescent="0.25">
      <c r="A4667" s="185" t="s">
        <v>529</v>
      </c>
      <c r="B4667" s="394" t="s">
        <v>560</v>
      </c>
      <c r="C4667" s="395"/>
      <c r="D4667" s="396"/>
      <c r="E4667" s="397" t="s">
        <v>519</v>
      </c>
      <c r="F4667" s="397" t="s">
        <v>561</v>
      </c>
      <c r="G4667" s="398" t="s">
        <v>562</v>
      </c>
      <c r="H4667" s="399"/>
      <c r="I4667" s="181" t="s">
        <v>530</v>
      </c>
      <c r="J4667" s="181"/>
      <c r="K4667" s="493" t="s">
        <v>521</v>
      </c>
      <c r="L4667" s="494"/>
      <c r="M4667" s="419"/>
      <c r="N4667" s="1603"/>
      <c r="P4667" s="412"/>
      <c r="Q4667" s="391"/>
      <c r="R4667" s="393"/>
    </row>
    <row r="4668" spans="1:19" ht="30" customHeight="1" x14ac:dyDescent="0.25">
      <c r="A4668" s="20" t="s">
        <v>782</v>
      </c>
      <c r="B4668" s="503" t="s">
        <v>2925</v>
      </c>
      <c r="C4668" s="504"/>
      <c r="D4668" s="505"/>
      <c r="E4668" s="756">
        <f>+(5.39+10.5)/2</f>
        <v>7.9450000000000003</v>
      </c>
      <c r="F4668" s="22" t="s">
        <v>3</v>
      </c>
      <c r="G4668" s="1112">
        <v>1</v>
      </c>
      <c r="H4668" s="758" t="s">
        <v>857</v>
      </c>
      <c r="I4668" s="20">
        <v>1.04</v>
      </c>
      <c r="J4668" s="20"/>
      <c r="K4668" s="776">
        <f>+E4668*I4668</f>
        <v>8.2628000000000004</v>
      </c>
      <c r="L4668" s="22" t="s">
        <v>7</v>
      </c>
      <c r="M4668" s="419"/>
      <c r="N4668" s="1603"/>
      <c r="O4668" s="128"/>
      <c r="P4668" s="713"/>
      <c r="Q4668" s="712"/>
      <c r="R4668" s="714"/>
    </row>
    <row r="4669" spans="1:19" ht="30" customHeight="1" x14ac:dyDescent="0.25">
      <c r="A4669" s="20" t="s">
        <v>782</v>
      </c>
      <c r="B4669" s="503" t="s">
        <v>793</v>
      </c>
      <c r="C4669" s="504"/>
      <c r="D4669" s="505"/>
      <c r="E4669" s="760">
        <f>(81.5+247)/2</f>
        <v>164.25</v>
      </c>
      <c r="F4669" s="22" t="s">
        <v>3</v>
      </c>
      <c r="G4669" s="1112">
        <v>1</v>
      </c>
      <c r="H4669" s="758" t="s">
        <v>857</v>
      </c>
      <c r="I4669" s="20">
        <v>1.04</v>
      </c>
      <c r="J4669" s="20"/>
      <c r="K4669" s="776">
        <f>+E4669*I4669</f>
        <v>170.82</v>
      </c>
      <c r="L4669" s="22" t="s">
        <v>7</v>
      </c>
      <c r="M4669" s="419"/>
      <c r="N4669" s="1603"/>
      <c r="O4669" s="128"/>
      <c r="P4669" s="713"/>
      <c r="Q4669" s="712"/>
      <c r="R4669" s="714"/>
      <c r="S4669" s="128"/>
    </row>
    <row r="4670" spans="1:19" ht="30" customHeight="1" x14ac:dyDescent="0.25">
      <c r="A4670" s="20" t="s">
        <v>782</v>
      </c>
      <c r="B4670" s="503" t="s">
        <v>2926</v>
      </c>
      <c r="C4670" s="504"/>
      <c r="D4670" s="505"/>
      <c r="E4670" s="760">
        <f>(79+112)/2</f>
        <v>95.5</v>
      </c>
      <c r="F4670" s="22" t="s">
        <v>3</v>
      </c>
      <c r="G4670" s="1112">
        <v>1</v>
      </c>
      <c r="H4670" s="758" t="s">
        <v>857</v>
      </c>
      <c r="I4670" s="20">
        <v>1.04</v>
      </c>
      <c r="J4670" s="20"/>
      <c r="K4670" s="776">
        <f>+E4670*I4670</f>
        <v>99.320000000000007</v>
      </c>
      <c r="L4670" s="22" t="s">
        <v>7</v>
      </c>
      <c r="M4670" s="419"/>
      <c r="N4670" s="1603"/>
      <c r="O4670"/>
      <c r="P4670" s="412"/>
      <c r="Q4670" s="391"/>
      <c r="R4670" s="393"/>
      <c r="S4670" s="128"/>
    </row>
    <row r="4671" spans="1:19" ht="30" customHeight="1" x14ac:dyDescent="0.25">
      <c r="A4671" s="20" t="s">
        <v>782</v>
      </c>
      <c r="B4671" s="503" t="s">
        <v>795</v>
      </c>
      <c r="C4671" s="504"/>
      <c r="D4671" s="505"/>
      <c r="E4671" s="760">
        <f>(0.61+4.54)/2</f>
        <v>2.5750000000000002</v>
      </c>
      <c r="F4671" s="22" t="s">
        <v>3</v>
      </c>
      <c r="G4671" s="1112">
        <v>1</v>
      </c>
      <c r="H4671" s="758" t="s">
        <v>857</v>
      </c>
      <c r="I4671" s="20">
        <v>1.04</v>
      </c>
      <c r="J4671" s="20"/>
      <c r="K4671" s="776">
        <f>+E4671/G4671*I4671</f>
        <v>2.6780000000000004</v>
      </c>
      <c r="L4671" s="22" t="s">
        <v>7</v>
      </c>
      <c r="M4671" s="419"/>
      <c r="N4671" s="1603"/>
      <c r="O4671"/>
      <c r="P4671" s="412"/>
      <c r="Q4671" s="391"/>
      <c r="R4671" s="393"/>
    </row>
    <row r="4672" spans="1:19" s="128" customFormat="1" ht="30" customHeight="1" x14ac:dyDescent="0.25">
      <c r="A4672" s="20" t="s">
        <v>782</v>
      </c>
      <c r="B4672" s="503" t="s">
        <v>2879</v>
      </c>
      <c r="C4672" s="504"/>
      <c r="D4672" s="505"/>
      <c r="E4672" s="760">
        <f>(9.94+17.05)/2</f>
        <v>13.495000000000001</v>
      </c>
      <c r="F4672" s="22" t="s">
        <v>3</v>
      </c>
      <c r="G4672" s="1112">
        <v>1</v>
      </c>
      <c r="H4672" s="758" t="s">
        <v>857</v>
      </c>
      <c r="I4672" s="20">
        <v>1.04</v>
      </c>
      <c r="J4672" s="20"/>
      <c r="K4672" s="776">
        <f>+E4672/G4672*I4672</f>
        <v>14.034800000000002</v>
      </c>
      <c r="L4672" s="22" t="s">
        <v>7</v>
      </c>
      <c r="M4672" s="419"/>
      <c r="N4672" s="1603"/>
      <c r="O4672"/>
      <c r="P4672" s="412"/>
      <c r="Q4672" s="391"/>
      <c r="R4672" s="393"/>
      <c r="S4672"/>
    </row>
    <row r="4673" spans="1:19" s="128" customFormat="1" ht="30" customHeight="1" x14ac:dyDescent="0.25">
      <c r="A4673" s="18"/>
      <c r="B4673" s="18" t="s">
        <v>2927</v>
      </c>
      <c r="C4673" s="410"/>
      <c r="D4673" s="410"/>
      <c r="E4673" s="405"/>
      <c r="F4673" s="20"/>
      <c r="G4673" s="20"/>
      <c r="H4673" s="20"/>
      <c r="I4673" s="20"/>
      <c r="J4673" s="20" t="s">
        <v>536</v>
      </c>
      <c r="K4673" s="780">
        <f>AVERAGE(K4668:K4672)</f>
        <v>59.023120000000006</v>
      </c>
      <c r="L4673" s="20" t="s">
        <v>7</v>
      </c>
      <c r="M4673" s="419"/>
      <c r="N4673" s="1603"/>
      <c r="O4673"/>
      <c r="P4673" s="412"/>
      <c r="Q4673" s="391"/>
      <c r="R4673" s="393"/>
      <c r="S4673"/>
    </row>
    <row r="4674" spans="1:19" s="128" customFormat="1" ht="30" customHeight="1" x14ac:dyDescent="0.25">
      <c r="A4674" s="20"/>
      <c r="B4674" s="410"/>
      <c r="C4674" s="410"/>
      <c r="D4674" s="410"/>
      <c r="E4674" s="405"/>
      <c r="F4674" s="338" t="s">
        <v>533</v>
      </c>
      <c r="G4674" s="339" t="s">
        <v>534</v>
      </c>
      <c r="H4674" s="339"/>
      <c r="I4674" s="339"/>
      <c r="J4674" s="339"/>
      <c r="K4674" s="340">
        <v>1.07</v>
      </c>
      <c r="L4674" s="10"/>
      <c r="M4674" s="425"/>
      <c r="N4674" s="420"/>
      <c r="O4674"/>
      <c r="P4674" s="412"/>
      <c r="Q4674" s="391"/>
      <c r="R4674" s="393"/>
      <c r="S4674"/>
    </row>
    <row r="4675" spans="1:19" s="128" customFormat="1" ht="30" customHeight="1" x14ac:dyDescent="0.25">
      <c r="A4675" s="20"/>
      <c r="B4675" s="410"/>
      <c r="C4675" s="410"/>
      <c r="D4675" s="410"/>
      <c r="E4675" s="405"/>
      <c r="F4675" s="343"/>
      <c r="G4675" s="344" t="s">
        <v>535</v>
      </c>
      <c r="H4675" s="344"/>
      <c r="I4675" s="344"/>
      <c r="J4675" s="344"/>
      <c r="K4675" s="340">
        <v>1.02</v>
      </c>
      <c r="L4675" s="10"/>
      <c r="M4675" s="419"/>
      <c r="N4675" s="420"/>
      <c r="O4675"/>
      <c r="P4675" s="412"/>
      <c r="Q4675" s="391"/>
      <c r="R4675" s="393"/>
      <c r="S4675"/>
    </row>
    <row r="4676" spans="1:19" ht="30" customHeight="1" x14ac:dyDescent="0.25">
      <c r="A4676" s="18"/>
      <c r="B4676" s="20"/>
      <c r="C4676" s="18"/>
      <c r="D4676" s="18"/>
      <c r="E4676" s="18"/>
      <c r="F4676" s="18"/>
      <c r="G4676" s="18"/>
      <c r="H4676" s="18"/>
      <c r="I4676" s="18"/>
      <c r="J4676" s="20" t="s">
        <v>358</v>
      </c>
      <c r="K4676" s="23">
        <f>+K4673*K4674/K4675</f>
        <v>61.916410196078438</v>
      </c>
      <c r="L4676" s="20" t="s">
        <v>7</v>
      </c>
      <c r="M4676" s="419"/>
      <c r="N4676" s="420"/>
      <c r="O4676" s="43"/>
      <c r="P4676" s="672"/>
      <c r="Q4676" s="671"/>
      <c r="R4676" s="673"/>
    </row>
    <row r="4677" spans="1:19" ht="30" customHeight="1" thickBot="1" x14ac:dyDescent="0.3">
      <c r="A4677" s="20"/>
      <c r="B4677" s="20"/>
      <c r="C4677" s="18"/>
      <c r="D4677" s="18"/>
      <c r="E4677" s="18"/>
      <c r="F4677" s="18"/>
      <c r="G4677" s="413" t="s">
        <v>537</v>
      </c>
      <c r="H4677" s="18"/>
      <c r="I4677" s="18"/>
      <c r="J4677" s="361">
        <f>VLOOKUP(B4666,'Mil Cost Premiums for RUCs'!$A$4:$R$265,18,FALSE)</f>
        <v>1.0905505199999999</v>
      </c>
      <c r="K4677" s="23">
        <f>+K4676*J4677</f>
        <v>67.522973335866638</v>
      </c>
      <c r="L4677" s="20" t="s">
        <v>7</v>
      </c>
      <c r="M4677" s="419"/>
      <c r="N4677" s="420"/>
      <c r="O4677" s="43"/>
      <c r="P4677" s="672"/>
      <c r="Q4677" s="671"/>
      <c r="R4677" s="673"/>
    </row>
    <row r="4678" spans="1:19" s="128" customFormat="1" ht="30" customHeight="1" thickBot="1" x14ac:dyDescent="0.3">
      <c r="A4678" s="76"/>
      <c r="B4678" s="77"/>
      <c r="C4678" s="77"/>
      <c r="D4678" s="77"/>
      <c r="E4678" s="77"/>
      <c r="F4678" s="77"/>
      <c r="G4678" s="77"/>
      <c r="H4678" s="77"/>
      <c r="I4678" s="77"/>
      <c r="J4678" s="77"/>
      <c r="K4678" s="77"/>
      <c r="L4678" s="78"/>
      <c r="M4678" s="419"/>
      <c r="N4678" s="420"/>
      <c r="O4678"/>
      <c r="P4678" s="412"/>
      <c r="Q4678" s="391"/>
      <c r="R4678" s="393"/>
      <c r="S4678"/>
    </row>
    <row r="4679" spans="1:19" s="128" customFormat="1" ht="30" customHeight="1" x14ac:dyDescent="0.25">
      <c r="A4679" s="1379" t="s">
        <v>288</v>
      </c>
      <c r="B4679" s="1380">
        <v>8910</v>
      </c>
      <c r="C4679" s="1439" t="s">
        <v>2928</v>
      </c>
      <c r="D4679" s="1440"/>
      <c r="E4679" s="1383" t="s">
        <v>291</v>
      </c>
      <c r="F4679" s="1418" t="s">
        <v>9</v>
      </c>
      <c r="G4679" s="123" t="s">
        <v>375</v>
      </c>
      <c r="H4679" s="1385">
        <v>2711</v>
      </c>
      <c r="I4679" s="1383" t="s">
        <v>292</v>
      </c>
      <c r="J4679" s="38" t="s">
        <v>883</v>
      </c>
      <c r="K4679" s="38"/>
      <c r="L4679" s="389"/>
      <c r="M4679" s="419"/>
      <c r="N4679" s="1603"/>
      <c r="O4679"/>
      <c r="P4679" s="412"/>
      <c r="Q4679" s="391"/>
      <c r="R4679" s="393"/>
      <c r="S4679"/>
    </row>
    <row r="4680" spans="1:19" s="128" customFormat="1" ht="30" customHeight="1" x14ac:dyDescent="0.25">
      <c r="A4680" s="1386" t="s">
        <v>529</v>
      </c>
      <c r="B4680" s="1387" t="s">
        <v>560</v>
      </c>
      <c r="C4680" s="1388"/>
      <c r="D4680" s="1389"/>
      <c r="E4680" s="1390" t="s">
        <v>519</v>
      </c>
      <c r="F4680" s="1390" t="s">
        <v>561</v>
      </c>
      <c r="G4680" s="1391" t="s">
        <v>562</v>
      </c>
      <c r="H4680" s="1392"/>
      <c r="I4680" s="181" t="s">
        <v>530</v>
      </c>
      <c r="J4680" s="1393"/>
      <c r="K4680" s="493" t="s">
        <v>521</v>
      </c>
      <c r="L4680" s="494"/>
      <c r="M4680" s="419"/>
      <c r="N4680" s="1603"/>
      <c r="O4680"/>
      <c r="P4680" s="412"/>
      <c r="Q4680" s="391"/>
      <c r="R4680" s="393"/>
      <c r="S4680"/>
    </row>
    <row r="4681" spans="1:19" s="128" customFormat="1" ht="30" customHeight="1" x14ac:dyDescent="0.25">
      <c r="A4681" s="1402" t="s">
        <v>2111</v>
      </c>
      <c r="B4681" s="1405" t="s">
        <v>2929</v>
      </c>
      <c r="C4681" s="1406"/>
      <c r="D4681" s="1407"/>
      <c r="E4681" s="1441">
        <v>61.5</v>
      </c>
      <c r="F4681" s="1399" t="s">
        <v>9</v>
      </c>
      <c r="G4681" s="1442"/>
      <c r="H4681" s="1401"/>
      <c r="I4681" s="1402">
        <v>1.05</v>
      </c>
      <c r="J4681" s="1399"/>
      <c r="K4681" s="1409">
        <f>+E4681*I4681</f>
        <v>64.575000000000003</v>
      </c>
      <c r="L4681" s="1399" t="s">
        <v>9</v>
      </c>
      <c r="M4681" s="419"/>
      <c r="N4681" s="420"/>
      <c r="O4681"/>
      <c r="P4681" s="412"/>
      <c r="Q4681" s="391"/>
      <c r="R4681" s="393"/>
      <c r="S4681"/>
    </row>
    <row r="4682" spans="1:19" s="128" customFormat="1" ht="30" customHeight="1" x14ac:dyDescent="0.25">
      <c r="A4682" s="1394" t="s">
        <v>644</v>
      </c>
      <c r="B4682" s="1405" t="s">
        <v>2930</v>
      </c>
      <c r="C4682" s="1406"/>
      <c r="D4682" s="1407"/>
      <c r="E4682" s="1398">
        <v>5.0599999999999996</v>
      </c>
      <c r="F4682" s="1399" t="s">
        <v>9</v>
      </c>
      <c r="G4682" s="1443"/>
      <c r="H4682" s="1444"/>
      <c r="I4682" s="1402">
        <v>1.05</v>
      </c>
      <c r="J4682" s="1399"/>
      <c r="K4682" s="1409">
        <f>+E4682*I4682</f>
        <v>5.3129999999999997</v>
      </c>
      <c r="L4682" s="1399" t="s">
        <v>9</v>
      </c>
      <c r="M4682" s="419"/>
      <c r="N4682" s="420"/>
      <c r="O4682"/>
      <c r="P4682" s="412"/>
      <c r="Q4682" s="391"/>
      <c r="R4682" s="393"/>
      <c r="S4682"/>
    </row>
    <row r="4683" spans="1:19" s="128" customFormat="1" ht="30" customHeight="1" x14ac:dyDescent="0.25">
      <c r="A4683" s="24" t="s">
        <v>644</v>
      </c>
      <c r="B4683" s="346" t="s">
        <v>1350</v>
      </c>
      <c r="C4683" s="347"/>
      <c r="D4683" s="348"/>
      <c r="E4683" s="14">
        <f>0.15*E4682</f>
        <v>0.7589999999999999</v>
      </c>
      <c r="F4683" s="1399" t="s">
        <v>9</v>
      </c>
      <c r="G4683" s="1443"/>
      <c r="H4683" s="1444"/>
      <c r="I4683" s="1402">
        <v>1.05</v>
      </c>
      <c r="J4683" s="1399"/>
      <c r="K4683" s="1409">
        <f t="shared" ref="K4683:K4684" si="62">+E4683*I4683</f>
        <v>0.79694999999999994</v>
      </c>
      <c r="L4683" s="1399" t="s">
        <v>9</v>
      </c>
      <c r="M4683" s="670"/>
      <c r="N4683" s="420"/>
      <c r="O4683"/>
      <c r="P4683" s="412"/>
      <c r="Q4683" s="391"/>
      <c r="R4683" s="393"/>
      <c r="S4683"/>
    </row>
    <row r="4684" spans="1:19" s="128" customFormat="1" ht="30" customHeight="1" x14ac:dyDescent="0.25">
      <c r="A4684" s="24" t="s">
        <v>644</v>
      </c>
      <c r="B4684" s="346" t="s">
        <v>1351</v>
      </c>
      <c r="C4684" s="347"/>
      <c r="D4684" s="348"/>
      <c r="E4684" s="14">
        <f xml:space="preserve"> 0.53+((1.06+1.57)/2)</f>
        <v>1.845</v>
      </c>
      <c r="F4684" s="1399" t="s">
        <v>9</v>
      </c>
      <c r="G4684" s="1443"/>
      <c r="H4684" s="1444"/>
      <c r="I4684" s="1402">
        <v>1.05</v>
      </c>
      <c r="J4684" s="1399"/>
      <c r="K4684" s="1409">
        <f t="shared" si="62"/>
        <v>1.9372500000000001</v>
      </c>
      <c r="L4684" s="1399" t="s">
        <v>9</v>
      </c>
      <c r="M4684" s="670"/>
      <c r="N4684" s="420"/>
      <c r="O4684"/>
      <c r="P4684" s="412"/>
      <c r="Q4684" s="391"/>
      <c r="R4684" s="393"/>
      <c r="S4684"/>
    </row>
    <row r="4685" spans="1:19" s="128" customFormat="1" ht="30" customHeight="1" x14ac:dyDescent="0.25">
      <c r="A4685" s="712"/>
      <c r="B4685" s="556"/>
      <c r="C4685" s="556"/>
      <c r="D4685" s="556"/>
      <c r="E4685" s="556"/>
      <c r="F4685" s="1402"/>
      <c r="G4685" s="1402"/>
      <c r="H4685" s="1402"/>
      <c r="I4685" s="1402"/>
      <c r="J4685" s="1402" t="s">
        <v>578</v>
      </c>
      <c r="K4685" s="1398">
        <f>SUM(K4681:K4684)</f>
        <v>72.622200000000007</v>
      </c>
      <c r="L4685" s="1402" t="s">
        <v>9</v>
      </c>
      <c r="M4685" s="419"/>
      <c r="N4685" s="671"/>
      <c r="O4685"/>
      <c r="P4685" s="412"/>
      <c r="Q4685" s="391"/>
      <c r="R4685" s="393"/>
      <c r="S4685"/>
    </row>
    <row r="4686" spans="1:19" s="128" customFormat="1" ht="30" customHeight="1" x14ac:dyDescent="0.25">
      <c r="A4686" s="712"/>
      <c r="B4686" s="556"/>
      <c r="C4686" s="556"/>
      <c r="D4686" s="556"/>
      <c r="E4686" s="556"/>
      <c r="F4686" s="338" t="s">
        <v>533</v>
      </c>
      <c r="G4686" s="339" t="s">
        <v>534</v>
      </c>
      <c r="H4686" s="339"/>
      <c r="I4686" s="339"/>
      <c r="J4686" s="339"/>
      <c r="K4686" s="340">
        <v>1.05</v>
      </c>
      <c r="L4686" s="10"/>
      <c r="M4686" s="419"/>
      <c r="N4686" s="671"/>
      <c r="O4686"/>
      <c r="P4686" s="412"/>
      <c r="Q4686" s="391"/>
      <c r="R4686" s="393"/>
      <c r="S4686"/>
    </row>
    <row r="4687" spans="1:19" s="128" customFormat="1" ht="30" customHeight="1" x14ac:dyDescent="0.25">
      <c r="A4687" s="61"/>
      <c r="B4687" s="410"/>
      <c r="C4687" s="410"/>
      <c r="D4687" s="410"/>
      <c r="E4687" s="405"/>
      <c r="F4687" s="343"/>
      <c r="G4687" s="344" t="s">
        <v>535</v>
      </c>
      <c r="H4687" s="344"/>
      <c r="I4687" s="344"/>
      <c r="J4687" s="344"/>
      <c r="K4687" s="340">
        <v>1.02</v>
      </c>
      <c r="L4687" s="10"/>
      <c r="M4687" s="419"/>
      <c r="N4687" s="420"/>
      <c r="O4687"/>
      <c r="P4687" s="412"/>
      <c r="Q4687" s="391"/>
      <c r="R4687" s="393"/>
      <c r="S4687"/>
    </row>
    <row r="4688" spans="1:19" s="128" customFormat="1" ht="30" customHeight="1" x14ac:dyDescent="0.25">
      <c r="A4688" s="1402"/>
      <c r="B4688" s="1402"/>
      <c r="C4688" s="1408"/>
      <c r="D4688" s="1408"/>
      <c r="E4688" s="1408"/>
      <c r="F4688" s="1408"/>
      <c r="G4688" s="1408"/>
      <c r="H4688" s="1408"/>
      <c r="I4688" s="1408"/>
      <c r="J4688" s="1402" t="s">
        <v>358</v>
      </c>
      <c r="K4688" s="1409">
        <f>+K4685*K4686/K4687</f>
        <v>74.758147058823539</v>
      </c>
      <c r="L4688" s="1402" t="s">
        <v>9</v>
      </c>
      <c r="M4688" s="419"/>
      <c r="N4688" s="420"/>
      <c r="O4688"/>
      <c r="P4688" s="412"/>
      <c r="Q4688" s="391"/>
      <c r="R4688" s="393"/>
      <c r="S4688"/>
    </row>
    <row r="4689" spans="1:19" ht="30" customHeight="1" x14ac:dyDescent="0.25">
      <c r="A4689" s="1402"/>
      <c r="B4689" s="1402"/>
      <c r="C4689" s="1408"/>
      <c r="D4689" s="1408"/>
      <c r="E4689" s="1408"/>
      <c r="F4689" s="1408"/>
      <c r="G4689" s="1651" t="s">
        <v>652</v>
      </c>
      <c r="H4689" s="1408"/>
      <c r="I4689" s="1408"/>
      <c r="J4689" s="361">
        <f>VLOOKUP(B4679,'Mil Cost Premiums for RUCs'!$A$4:$R$265,18,FALSE)</f>
        <v>1.1323590634842093</v>
      </c>
      <c r="K4689" s="1409">
        <f>+K4688*J4689</f>
        <v>84.653065391344228</v>
      </c>
      <c r="L4689" s="1402" t="s">
        <v>9</v>
      </c>
      <c r="M4689" s="419"/>
      <c r="N4689" s="420"/>
      <c r="O4689"/>
      <c r="P4689" s="412"/>
      <c r="Q4689" s="391"/>
      <c r="R4689" s="393"/>
      <c r="S4689" s="128"/>
    </row>
    <row r="4690" spans="1:19" ht="30" customHeight="1" x14ac:dyDescent="0.25">
      <c r="A4690" s="138" t="s">
        <v>2931</v>
      </c>
      <c r="B4690" s="139"/>
      <c r="C4690" s="139"/>
      <c r="D4690" s="139"/>
      <c r="E4690" s="139"/>
      <c r="F4690" s="139"/>
      <c r="G4690" s="139"/>
      <c r="H4690" s="139"/>
      <c r="I4690" s="139"/>
      <c r="J4690" s="139"/>
      <c r="K4690" s="139"/>
      <c r="L4690" s="140"/>
      <c r="M4690" s="419"/>
      <c r="N4690" s="420"/>
      <c r="O4690"/>
      <c r="P4690" s="412"/>
      <c r="Q4690" s="391"/>
      <c r="R4690" s="393"/>
    </row>
    <row r="4691" spans="1:19" ht="30" customHeight="1" x14ac:dyDescent="0.25">
      <c r="A4691" s="217" t="s">
        <v>539</v>
      </c>
      <c r="B4691" s="218"/>
      <c r="C4691" s="219"/>
      <c r="D4691" s="386" t="s">
        <v>2932</v>
      </c>
      <c r="E4691" s="849"/>
      <c r="F4691" s="849"/>
      <c r="G4691" s="849"/>
      <c r="H4691" s="849"/>
      <c r="I4691" s="849"/>
      <c r="J4691" s="849"/>
      <c r="K4691" s="849"/>
      <c r="L4691" s="850"/>
      <c r="M4691" s="419"/>
      <c r="N4691" s="420"/>
      <c r="O4691"/>
      <c r="P4691" s="412"/>
      <c r="Q4691" s="391"/>
      <c r="R4691" s="393"/>
    </row>
    <row r="4692" spans="1:19" s="49" customFormat="1" ht="30" customHeight="1" x14ac:dyDescent="0.25">
      <c r="A4692" s="217" t="s">
        <v>541</v>
      </c>
      <c r="B4692" s="218"/>
      <c r="C4692" s="219"/>
      <c r="D4692" s="386" t="s">
        <v>2933</v>
      </c>
      <c r="E4692" s="849"/>
      <c r="F4692" s="849"/>
      <c r="G4692" s="849"/>
      <c r="H4692" s="849"/>
      <c r="I4692" s="849"/>
      <c r="J4692" s="849"/>
      <c r="K4692" s="849"/>
      <c r="L4692" s="850"/>
      <c r="M4692" s="419"/>
      <c r="N4692" s="420"/>
      <c r="P4692" s="412"/>
      <c r="Q4692" s="391"/>
      <c r="R4692" s="393"/>
    </row>
    <row r="4693" spans="1:19" ht="30" customHeight="1" x14ac:dyDescent="0.25">
      <c r="A4693" s="217" t="s">
        <v>543</v>
      </c>
      <c r="B4693" s="218"/>
      <c r="C4693" s="219"/>
      <c r="D4693" s="386" t="s">
        <v>2934</v>
      </c>
      <c r="E4693" s="849"/>
      <c r="F4693" s="849"/>
      <c r="G4693" s="849"/>
      <c r="H4693" s="849"/>
      <c r="I4693" s="849"/>
      <c r="J4693" s="849"/>
      <c r="K4693" s="849"/>
      <c r="L4693" s="850"/>
      <c r="M4693" s="419"/>
      <c r="N4693" s="420"/>
      <c r="O4693"/>
      <c r="P4693" s="412"/>
      <c r="Q4693" s="391"/>
      <c r="R4693" s="393"/>
    </row>
    <row r="4694" spans="1:19" ht="30" customHeight="1" x14ac:dyDescent="0.25">
      <c r="A4694" s="217" t="s">
        <v>546</v>
      </c>
      <c r="B4694" s="218"/>
      <c r="C4694" s="219"/>
      <c r="D4694" s="386" t="s">
        <v>2935</v>
      </c>
      <c r="E4694" s="849"/>
      <c r="F4694" s="849"/>
      <c r="G4694" s="849"/>
      <c r="H4694" s="849"/>
      <c r="I4694" s="849"/>
      <c r="J4694" s="849"/>
      <c r="K4694" s="849"/>
      <c r="L4694" s="850"/>
      <c r="M4694" s="419"/>
      <c r="N4694" s="420"/>
      <c r="O4694"/>
      <c r="P4694" s="412"/>
      <c r="Q4694" s="391"/>
      <c r="R4694" s="393"/>
    </row>
    <row r="4695" spans="1:19" ht="30" customHeight="1" x14ac:dyDescent="0.25">
      <c r="A4695" s="217" t="s">
        <v>548</v>
      </c>
      <c r="B4695" s="218"/>
      <c r="C4695" s="219"/>
      <c r="D4695" s="386" t="s">
        <v>1851</v>
      </c>
      <c r="E4695" s="849"/>
      <c r="F4695" s="849"/>
      <c r="G4695" s="849"/>
      <c r="H4695" s="849"/>
      <c r="I4695" s="849"/>
      <c r="J4695" s="849"/>
      <c r="K4695" s="849"/>
      <c r="L4695" s="850"/>
      <c r="M4695" s="419"/>
      <c r="N4695" s="420"/>
      <c r="O4695"/>
      <c r="P4695" s="412"/>
      <c r="Q4695" s="391"/>
      <c r="R4695" s="393"/>
    </row>
    <row r="4696" spans="1:19" ht="30" customHeight="1" x14ac:dyDescent="0.25">
      <c r="A4696" s="217" t="s">
        <v>550</v>
      </c>
      <c r="B4696" s="218"/>
      <c r="C4696" s="219"/>
      <c r="D4696" s="386" t="s">
        <v>2936</v>
      </c>
      <c r="E4696" s="849"/>
      <c r="F4696" s="849"/>
      <c r="G4696" s="849"/>
      <c r="H4696" s="849"/>
      <c r="I4696" s="849"/>
      <c r="J4696" s="849"/>
      <c r="K4696" s="849"/>
      <c r="L4696" s="850"/>
      <c r="M4696" s="419"/>
      <c r="N4696" s="420"/>
      <c r="O4696"/>
      <c r="P4696" s="412"/>
      <c r="Q4696" s="391"/>
      <c r="R4696" s="393"/>
    </row>
    <row r="4697" spans="1:19" s="128" customFormat="1" ht="30" customHeight="1" x14ac:dyDescent="0.25">
      <c r="A4697" s="217" t="s">
        <v>552</v>
      </c>
      <c r="B4697" s="218"/>
      <c r="C4697" s="219"/>
      <c r="D4697" s="386" t="s">
        <v>2937</v>
      </c>
      <c r="E4697" s="849"/>
      <c r="F4697" s="849"/>
      <c r="G4697" s="849"/>
      <c r="H4697" s="849"/>
      <c r="I4697" s="849"/>
      <c r="J4697" s="849"/>
      <c r="K4697" s="849"/>
      <c r="L4697" s="850"/>
      <c r="M4697" s="419"/>
      <c r="N4697" s="420"/>
      <c r="P4697" s="713"/>
      <c r="Q4697" s="712"/>
      <c r="R4697" s="714"/>
      <c r="S4697"/>
    </row>
    <row r="4698" spans="1:19" ht="30" customHeight="1" x14ac:dyDescent="0.25">
      <c r="A4698" s="217" t="s">
        <v>553</v>
      </c>
      <c r="B4698" s="218"/>
      <c r="C4698" s="219"/>
      <c r="D4698" s="386" t="s">
        <v>660</v>
      </c>
      <c r="E4698" s="849"/>
      <c r="F4698" s="849"/>
      <c r="G4698" s="849"/>
      <c r="H4698" s="849"/>
      <c r="I4698" s="849"/>
      <c r="J4698" s="849"/>
      <c r="K4698" s="849"/>
      <c r="L4698" s="850"/>
      <c r="M4698" s="419"/>
      <c r="N4698" s="420"/>
      <c r="O4698" s="128"/>
      <c r="P4698" s="713"/>
      <c r="Q4698" s="712"/>
      <c r="R4698" s="714"/>
    </row>
    <row r="4699" spans="1:19" ht="48" customHeight="1" thickBot="1" x14ac:dyDescent="0.3">
      <c r="A4699" s="1282" t="s">
        <v>556</v>
      </c>
      <c r="B4699" s="1283"/>
      <c r="C4699" s="1284"/>
      <c r="D4699" s="386" t="s">
        <v>2938</v>
      </c>
      <c r="E4699" s="849"/>
      <c r="F4699" s="849"/>
      <c r="G4699" s="849"/>
      <c r="H4699" s="849"/>
      <c r="I4699" s="849"/>
      <c r="J4699" s="849"/>
      <c r="K4699" s="849"/>
      <c r="L4699" s="850"/>
      <c r="M4699" s="425"/>
      <c r="N4699" s="420"/>
      <c r="O4699" s="43"/>
      <c r="P4699" s="672"/>
      <c r="Q4699" s="671"/>
      <c r="R4699" s="673"/>
    </row>
    <row r="4700" spans="1:19" ht="30" customHeight="1" thickBot="1" x14ac:dyDescent="0.3">
      <c r="A4700" s="76"/>
      <c r="B4700" s="77"/>
      <c r="C4700" s="77"/>
      <c r="D4700" s="77"/>
      <c r="E4700" s="77"/>
      <c r="F4700" s="77"/>
      <c r="G4700" s="77"/>
      <c r="H4700" s="77"/>
      <c r="I4700" s="77"/>
      <c r="J4700" s="77"/>
      <c r="K4700" s="77"/>
      <c r="L4700" s="78"/>
      <c r="M4700" s="419"/>
      <c r="N4700" s="420"/>
      <c r="O4700" s="43"/>
      <c r="P4700" s="672"/>
      <c r="Q4700" s="671"/>
      <c r="R4700" s="673"/>
    </row>
    <row r="4701" spans="1:19" ht="30" customHeight="1" x14ac:dyDescent="0.25">
      <c r="A4701" s="30" t="s">
        <v>288</v>
      </c>
      <c r="B4701" s="208">
        <v>8921</v>
      </c>
      <c r="C4701" s="209" t="s">
        <v>2939</v>
      </c>
      <c r="D4701" s="210"/>
      <c r="E4701" s="177" t="s">
        <v>291</v>
      </c>
      <c r="F4701" s="178" t="s">
        <v>11</v>
      </c>
      <c r="G4701" s="465" t="s">
        <v>290</v>
      </c>
      <c r="H4701" s="179">
        <v>1</v>
      </c>
      <c r="I4701" s="177" t="s">
        <v>292</v>
      </c>
      <c r="J4701" s="38" t="s">
        <v>883</v>
      </c>
      <c r="K4701" s="38"/>
      <c r="L4701" s="389"/>
      <c r="M4701" s="419"/>
      <c r="N4701" s="420"/>
      <c r="O4701" s="43"/>
      <c r="P4701" s="672"/>
      <c r="Q4701" s="671"/>
      <c r="R4701" s="673"/>
    </row>
    <row r="4702" spans="1:19" ht="30" customHeight="1" x14ac:dyDescent="0.25">
      <c r="A4702" s="48" t="s">
        <v>529</v>
      </c>
      <c r="B4702" s="394" t="s">
        <v>560</v>
      </c>
      <c r="C4702" s="395"/>
      <c r="D4702" s="396"/>
      <c r="E4702" s="397" t="s">
        <v>519</v>
      </c>
      <c r="F4702" s="397" t="s">
        <v>561</v>
      </c>
      <c r="G4702" s="398" t="s">
        <v>562</v>
      </c>
      <c r="H4702" s="399"/>
      <c r="I4702" s="181" t="s">
        <v>530</v>
      </c>
      <c r="J4702" s="181"/>
      <c r="K4702" s="493" t="s">
        <v>521</v>
      </c>
      <c r="L4702" s="494"/>
      <c r="M4702" s="419"/>
      <c r="N4702" s="420"/>
      <c r="O4702" s="43"/>
      <c r="P4702" s="672"/>
      <c r="Q4702" s="671"/>
      <c r="R4702" s="673"/>
    </row>
    <row r="4703" spans="1:19" ht="30" customHeight="1" x14ac:dyDescent="0.25">
      <c r="A4703" s="20" t="s">
        <v>563</v>
      </c>
      <c r="B4703" s="402" t="s">
        <v>2940</v>
      </c>
      <c r="C4703" s="403"/>
      <c r="D4703" s="404"/>
      <c r="E4703" s="760">
        <v>90.91</v>
      </c>
      <c r="F4703" s="22" t="s">
        <v>9</v>
      </c>
      <c r="G4703" s="792">
        <v>1108</v>
      </c>
      <c r="H4703" s="758" t="s">
        <v>565</v>
      </c>
      <c r="I4703" s="20">
        <v>1.05</v>
      </c>
      <c r="J4703" s="20"/>
      <c r="K4703" s="760">
        <f>+E4703*G4703*I4703</f>
        <v>105764.694</v>
      </c>
      <c r="L4703" s="22" t="s">
        <v>11</v>
      </c>
      <c r="M4703" s="419"/>
      <c r="N4703" s="420"/>
      <c r="O4703"/>
      <c r="P4703" s="412"/>
      <c r="Q4703" s="391"/>
      <c r="R4703" s="393"/>
    </row>
    <row r="4704" spans="1:19" ht="30" customHeight="1" x14ac:dyDescent="0.25">
      <c r="A4704" s="1325" t="s">
        <v>1421</v>
      </c>
      <c r="B4704" s="402" t="s">
        <v>2941</v>
      </c>
      <c r="C4704" s="403"/>
      <c r="D4704" s="404"/>
      <c r="E4704" s="760">
        <v>22.68</v>
      </c>
      <c r="F4704" s="22" t="s">
        <v>9</v>
      </c>
      <c r="G4704" s="792">
        <v>1108</v>
      </c>
      <c r="H4704" s="758" t="s">
        <v>565</v>
      </c>
      <c r="I4704" s="20">
        <v>1.05</v>
      </c>
      <c r="J4704" s="20"/>
      <c r="K4704" s="756">
        <f>+E4704*G4704*I4704</f>
        <v>26385.912</v>
      </c>
      <c r="L4704" s="22" t="s">
        <v>11</v>
      </c>
      <c r="M4704" s="419"/>
      <c r="N4704" s="420"/>
      <c r="O4704"/>
      <c r="P4704" s="412"/>
      <c r="Q4704" s="391"/>
      <c r="R4704" s="393"/>
    </row>
    <row r="4705" spans="1:19" ht="30" customHeight="1" x14ac:dyDescent="0.25">
      <c r="A4705" s="1325" t="s">
        <v>2596</v>
      </c>
      <c r="B4705" s="402" t="s">
        <v>2597</v>
      </c>
      <c r="C4705" s="403"/>
      <c r="D4705" s="404"/>
      <c r="E4705" s="760">
        <f>+(9550+11400)/2</f>
        <v>10475</v>
      </c>
      <c r="F4705" s="22" t="s">
        <v>11</v>
      </c>
      <c r="G4705" s="1553"/>
      <c r="H4705" s="758"/>
      <c r="I4705" s="751">
        <v>1.06</v>
      </c>
      <c r="J4705" s="20"/>
      <c r="K4705" s="756">
        <f>+E4705*I4705</f>
        <v>11103.5</v>
      </c>
      <c r="L4705" s="22" t="s">
        <v>11</v>
      </c>
      <c r="M4705" s="419"/>
      <c r="N4705" s="420"/>
      <c r="O4705"/>
      <c r="P4705" s="412"/>
      <c r="Q4705" s="391"/>
      <c r="R4705" s="393"/>
    </row>
    <row r="4706" spans="1:19" ht="30" customHeight="1" x14ac:dyDescent="0.25">
      <c r="A4706" s="1299" t="s">
        <v>634</v>
      </c>
      <c r="B4706" s="402" t="s">
        <v>2942</v>
      </c>
      <c r="C4706" s="403"/>
      <c r="D4706" s="404"/>
      <c r="E4706" s="760">
        <v>115000</v>
      </c>
      <c r="F4706" s="22" t="s">
        <v>11</v>
      </c>
      <c r="G4706" s="1553"/>
      <c r="H4706" s="758"/>
      <c r="I4706" s="20">
        <v>1.04</v>
      </c>
      <c r="J4706" s="20"/>
      <c r="K4706" s="756">
        <f>+E4706*I4706</f>
        <v>119600</v>
      </c>
      <c r="L4706" s="22" t="s">
        <v>11</v>
      </c>
      <c r="M4706" s="670"/>
      <c r="N4706" s="420"/>
      <c r="O4706"/>
      <c r="P4706" s="412"/>
      <c r="Q4706" s="391"/>
      <c r="R4706" s="393"/>
    </row>
    <row r="4707" spans="1:19" s="49" customFormat="1" ht="30" customHeight="1" x14ac:dyDescent="0.25">
      <c r="A4707" s="778"/>
      <c r="B4707" s="503" t="s">
        <v>2943</v>
      </c>
      <c r="C4707" s="504"/>
      <c r="D4707" s="505"/>
      <c r="E4707" s="405"/>
      <c r="F4707" s="20"/>
      <c r="G4707" s="20"/>
      <c r="H4707" s="20"/>
      <c r="I4707" s="20"/>
      <c r="J4707" s="20" t="s">
        <v>646</v>
      </c>
      <c r="K4707" s="405">
        <f>SUM(K4703:K4706)</f>
        <v>262854.10600000003</v>
      </c>
      <c r="L4707" s="20" t="s">
        <v>11</v>
      </c>
      <c r="M4707" s="670"/>
      <c r="N4707" s="1603"/>
      <c r="P4707" s="412"/>
      <c r="Q4707" s="391"/>
      <c r="R4707" s="393"/>
    </row>
    <row r="4708" spans="1:19" s="128" customFormat="1" ht="30" customHeight="1" x14ac:dyDescent="0.25">
      <c r="A4708" s="61"/>
      <c r="B4708" s="410"/>
      <c r="C4708" s="410"/>
      <c r="D4708" s="410"/>
      <c r="E4708" s="405"/>
      <c r="F4708" s="338" t="s">
        <v>533</v>
      </c>
      <c r="G4708" s="339" t="s">
        <v>534</v>
      </c>
      <c r="H4708" s="339"/>
      <c r="I4708" s="339"/>
      <c r="J4708" s="339"/>
      <c r="K4708" s="340">
        <v>1.07</v>
      </c>
      <c r="L4708" s="10"/>
      <c r="M4708" s="670"/>
      <c r="N4708" s="671"/>
      <c r="O4708"/>
      <c r="P4708" s="412"/>
      <c r="Q4708" s="391"/>
      <c r="R4708" s="393"/>
      <c r="S4708"/>
    </row>
    <row r="4709" spans="1:19" s="128" customFormat="1" ht="30" customHeight="1" x14ac:dyDescent="0.25">
      <c r="A4709" s="61"/>
      <c r="B4709" s="410"/>
      <c r="C4709" s="410"/>
      <c r="D4709" s="410"/>
      <c r="E4709" s="405"/>
      <c r="F4709" s="343"/>
      <c r="G4709" s="344" t="s">
        <v>535</v>
      </c>
      <c r="H4709" s="344"/>
      <c r="I4709" s="344"/>
      <c r="J4709" s="344"/>
      <c r="K4709" s="340">
        <v>1.02</v>
      </c>
      <c r="L4709" s="10"/>
      <c r="M4709" s="670"/>
      <c r="N4709" s="671"/>
      <c r="O4709"/>
      <c r="P4709" s="412"/>
      <c r="Q4709" s="391"/>
      <c r="R4709" s="393"/>
    </row>
    <row r="4710" spans="1:19" s="128" customFormat="1" ht="30" customHeight="1" x14ac:dyDescent="0.25">
      <c r="A4710" s="61"/>
      <c r="B4710" s="20"/>
      <c r="C4710" s="18"/>
      <c r="D4710" s="18"/>
      <c r="E4710" s="18"/>
      <c r="F4710" s="18"/>
      <c r="G4710" s="18"/>
      <c r="H4710" s="18"/>
      <c r="I4710" s="18"/>
      <c r="J4710" s="20" t="s">
        <v>358</v>
      </c>
      <c r="K4710" s="23">
        <f>+K4707*K4708/K4709</f>
        <v>275739.11119607848</v>
      </c>
      <c r="L4710" s="20" t="s">
        <v>11</v>
      </c>
      <c r="M4710" s="419"/>
      <c r="N4710" s="671"/>
      <c r="O4710"/>
      <c r="P4710" s="412"/>
      <c r="Q4710" s="391"/>
      <c r="R4710" s="393"/>
    </row>
    <row r="4711" spans="1:19" ht="30" customHeight="1" thickBot="1" x14ac:dyDescent="0.3">
      <c r="A4711" s="61"/>
      <c r="B4711" s="20"/>
      <c r="C4711" s="18"/>
      <c r="D4711" s="18"/>
      <c r="E4711" s="18"/>
      <c r="F4711" s="18"/>
      <c r="G4711" s="413" t="s">
        <v>537</v>
      </c>
      <c r="H4711" s="18"/>
      <c r="I4711" s="18"/>
      <c r="J4711" s="361">
        <f>VLOOKUP(B4701,'Mil Cost Premiums for RUCs'!$A$4:$R$265,18,FALSE)</f>
        <v>1.1199953840399997</v>
      </c>
      <c r="K4711" s="23">
        <f>+K4710*J4711</f>
        <v>308826.53173890006</v>
      </c>
      <c r="L4711" s="20" t="s">
        <v>11</v>
      </c>
      <c r="M4711" s="419"/>
      <c r="N4711" s="671"/>
      <c r="O4711" s="43"/>
      <c r="P4711" s="672"/>
      <c r="Q4711" s="671"/>
      <c r="R4711" s="673"/>
    </row>
    <row r="4712" spans="1:19" ht="30" customHeight="1" thickBot="1" x14ac:dyDescent="0.3">
      <c r="A4712" s="76"/>
      <c r="B4712" s="77"/>
      <c r="C4712" s="77"/>
      <c r="D4712" s="77"/>
      <c r="E4712" s="77"/>
      <c r="F4712" s="77"/>
      <c r="G4712" s="77"/>
      <c r="H4712" s="77"/>
      <c r="I4712" s="77"/>
      <c r="J4712" s="77"/>
      <c r="K4712" s="77"/>
      <c r="L4712" s="78"/>
      <c r="M4712" s="419"/>
      <c r="N4712" s="1603"/>
      <c r="O4712" s="43"/>
      <c r="P4712" s="672"/>
      <c r="Q4712" s="671"/>
      <c r="R4712" s="673"/>
    </row>
    <row r="4713" spans="1:19" s="128" customFormat="1" ht="30" customHeight="1" x14ac:dyDescent="0.25">
      <c r="A4713" s="30" t="s">
        <v>288</v>
      </c>
      <c r="B4713" s="208">
        <v>8922</v>
      </c>
      <c r="C4713" s="209" t="s">
        <v>2944</v>
      </c>
      <c r="D4713" s="210"/>
      <c r="E4713" s="177" t="s">
        <v>291</v>
      </c>
      <c r="F4713" s="178" t="s">
        <v>11</v>
      </c>
      <c r="G4713" s="465" t="s">
        <v>290</v>
      </c>
      <c r="H4713" s="179">
        <v>1</v>
      </c>
      <c r="I4713" s="177" t="s">
        <v>292</v>
      </c>
      <c r="J4713" s="38" t="s">
        <v>883</v>
      </c>
      <c r="K4713" s="38"/>
      <c r="L4713" s="389"/>
      <c r="M4713" s="419"/>
      <c r="N4713" s="1603"/>
      <c r="O4713"/>
      <c r="P4713" s="412"/>
      <c r="Q4713" s="391"/>
      <c r="R4713" s="393"/>
    </row>
    <row r="4714" spans="1:19" s="128" customFormat="1" ht="30" customHeight="1" x14ac:dyDescent="0.25">
      <c r="A4714" s="48" t="s">
        <v>529</v>
      </c>
      <c r="B4714" s="394" t="s">
        <v>560</v>
      </c>
      <c r="C4714" s="395"/>
      <c r="D4714" s="396"/>
      <c r="E4714" s="397" t="s">
        <v>519</v>
      </c>
      <c r="F4714" s="397" t="s">
        <v>561</v>
      </c>
      <c r="G4714" s="398" t="s">
        <v>562</v>
      </c>
      <c r="H4714" s="399"/>
      <c r="I4714" s="181" t="s">
        <v>530</v>
      </c>
      <c r="J4714" s="181"/>
      <c r="K4714" s="493" t="s">
        <v>521</v>
      </c>
      <c r="L4714" s="494"/>
      <c r="M4714" s="425"/>
      <c r="N4714" s="420"/>
      <c r="O4714"/>
      <c r="P4714" s="412"/>
      <c r="Q4714" s="391"/>
      <c r="R4714" s="393"/>
    </row>
    <row r="4715" spans="1:19" s="128" customFormat="1" ht="30" customHeight="1" x14ac:dyDescent="0.25">
      <c r="A4715" s="61" t="s">
        <v>634</v>
      </c>
      <c r="B4715" s="402" t="s">
        <v>2945</v>
      </c>
      <c r="C4715" s="403"/>
      <c r="D4715" s="404"/>
      <c r="E4715" s="760">
        <v>76500</v>
      </c>
      <c r="F4715" s="22"/>
      <c r="G4715" s="1563"/>
      <c r="H4715" s="758"/>
      <c r="I4715" s="20">
        <v>1.04</v>
      </c>
      <c r="J4715" s="22"/>
      <c r="K4715" s="23">
        <f>+E4715*I4715</f>
        <v>79560</v>
      </c>
      <c r="L4715" s="22" t="s">
        <v>11</v>
      </c>
      <c r="M4715" s="419"/>
      <c r="N4715" s="420"/>
      <c r="O4715"/>
      <c r="P4715" s="412"/>
      <c r="Q4715" s="391"/>
      <c r="R4715" s="393"/>
    </row>
    <row r="4716" spans="1:19" s="128" customFormat="1" ht="30" customHeight="1" x14ac:dyDescent="0.25">
      <c r="A4716" s="61"/>
      <c r="B4716" s="410"/>
      <c r="C4716" s="410"/>
      <c r="D4716" s="410"/>
      <c r="E4716" s="405"/>
      <c r="F4716" s="338" t="s">
        <v>533</v>
      </c>
      <c r="G4716" s="339" t="s">
        <v>534</v>
      </c>
      <c r="H4716" s="339"/>
      <c r="I4716" s="339"/>
      <c r="J4716" s="339"/>
      <c r="K4716" s="340">
        <v>1.07</v>
      </c>
      <c r="L4716" s="10"/>
      <c r="M4716" s="419"/>
      <c r="N4716" s="420"/>
      <c r="O4716"/>
      <c r="P4716" s="412"/>
      <c r="Q4716" s="391"/>
      <c r="R4716" s="393"/>
    </row>
    <row r="4717" spans="1:19" s="128" customFormat="1" ht="30" customHeight="1" x14ac:dyDescent="0.25">
      <c r="A4717" s="61"/>
      <c r="B4717" s="410"/>
      <c r="C4717" s="410"/>
      <c r="D4717" s="410"/>
      <c r="E4717" s="405"/>
      <c r="F4717" s="343"/>
      <c r="G4717" s="344" t="s">
        <v>535</v>
      </c>
      <c r="H4717" s="344"/>
      <c r="I4717" s="344"/>
      <c r="J4717" s="344"/>
      <c r="K4717" s="340">
        <v>1.02</v>
      </c>
      <c r="L4717" s="10"/>
      <c r="M4717" s="419"/>
      <c r="N4717" s="420"/>
      <c r="O4717"/>
      <c r="P4717" s="412"/>
      <c r="Q4717" s="391"/>
      <c r="R4717" s="393"/>
    </row>
    <row r="4718" spans="1:19" s="128" customFormat="1" ht="30" customHeight="1" x14ac:dyDescent="0.25">
      <c r="A4718" s="1334"/>
      <c r="B4718" s="1652"/>
      <c r="C4718" s="1098"/>
      <c r="D4718" s="1653"/>
      <c r="E4718" s="405"/>
      <c r="F4718" s="22"/>
      <c r="G4718" s="730"/>
      <c r="H4718" s="649"/>
      <c r="I4718" s="20"/>
      <c r="J4718" s="20" t="s">
        <v>358</v>
      </c>
      <c r="K4718" s="23">
        <f>+K4715*K4716/K4717</f>
        <v>83460.000000000015</v>
      </c>
      <c r="L4718" s="20" t="s">
        <v>11</v>
      </c>
      <c r="M4718" s="1342"/>
      <c r="N4718" s="420"/>
      <c r="O4718"/>
      <c r="P4718" s="412"/>
      <c r="Q4718" s="391"/>
      <c r="R4718" s="393"/>
    </row>
    <row r="4719" spans="1:19" s="128" customFormat="1" ht="30" customHeight="1" thickBot="1" x14ac:dyDescent="0.3">
      <c r="A4719" s="61"/>
      <c r="B4719" s="20"/>
      <c r="C4719" s="18"/>
      <c r="D4719" s="18"/>
      <c r="E4719" s="18"/>
      <c r="F4719" s="18"/>
      <c r="G4719" s="413" t="s">
        <v>537</v>
      </c>
      <c r="H4719" s="18"/>
      <c r="I4719" s="18"/>
      <c r="J4719" s="361">
        <f>VLOOKUP(B4713,'Mil Cost Premiums for RUCs'!$A$4:$R$265,18,FALSE)</f>
        <v>1.0209999999999999</v>
      </c>
      <c r="K4719" s="23">
        <f>+K4718*J4719</f>
        <v>85212.66</v>
      </c>
      <c r="L4719" s="20" t="s">
        <v>11</v>
      </c>
      <c r="M4719" s="670"/>
      <c r="N4719" s="420"/>
      <c r="O4719"/>
      <c r="P4719" s="412"/>
      <c r="Q4719" s="391"/>
      <c r="R4719" s="393"/>
    </row>
    <row r="4720" spans="1:19" s="128" customFormat="1" ht="30" customHeight="1" thickBot="1" x14ac:dyDescent="0.3">
      <c r="A4720" s="76"/>
      <c r="B4720" s="77"/>
      <c r="C4720" s="77"/>
      <c r="D4720" s="77"/>
      <c r="E4720" s="77"/>
      <c r="F4720" s="77"/>
      <c r="G4720" s="77"/>
      <c r="H4720" s="77"/>
      <c r="I4720" s="77"/>
      <c r="J4720" s="77"/>
      <c r="K4720" s="77"/>
      <c r="L4720" s="78"/>
      <c r="M4720" s="419"/>
      <c r="N4720" s="1343"/>
      <c r="O4720"/>
      <c r="P4720" s="412"/>
      <c r="Q4720" s="391"/>
      <c r="R4720" s="393"/>
    </row>
    <row r="4721" spans="1:19" s="128" customFormat="1" ht="30" customHeight="1" x14ac:dyDescent="0.25">
      <c r="A4721" s="30" t="s">
        <v>288</v>
      </c>
      <c r="B4721" s="208">
        <v>8923</v>
      </c>
      <c r="C4721" s="209" t="s">
        <v>2946</v>
      </c>
      <c r="D4721" s="210"/>
      <c r="E4721" s="177" t="s">
        <v>291</v>
      </c>
      <c r="F4721" s="178" t="s">
        <v>11</v>
      </c>
      <c r="G4721" s="465" t="s">
        <v>290</v>
      </c>
      <c r="H4721" s="179">
        <v>1</v>
      </c>
      <c r="I4721" s="177" t="s">
        <v>292</v>
      </c>
      <c r="J4721" s="38" t="s">
        <v>883</v>
      </c>
      <c r="K4721" s="38"/>
      <c r="L4721" s="389"/>
      <c r="M4721" s="419"/>
      <c r="N4721" s="671"/>
      <c r="O4721"/>
      <c r="P4721" s="412"/>
      <c r="Q4721" s="391"/>
      <c r="R4721" s="393"/>
    </row>
    <row r="4722" spans="1:19" s="128" customFormat="1" ht="30" customHeight="1" x14ac:dyDescent="0.25">
      <c r="A4722" s="48" t="s">
        <v>529</v>
      </c>
      <c r="B4722" s="394" t="s">
        <v>560</v>
      </c>
      <c r="C4722" s="395"/>
      <c r="D4722" s="396"/>
      <c r="E4722" s="397" t="s">
        <v>519</v>
      </c>
      <c r="F4722" s="397" t="s">
        <v>561</v>
      </c>
      <c r="G4722" s="398" t="s">
        <v>562</v>
      </c>
      <c r="H4722" s="399"/>
      <c r="I4722" s="181" t="s">
        <v>530</v>
      </c>
      <c r="J4722" s="181"/>
      <c r="K4722" s="493" t="s">
        <v>521</v>
      </c>
      <c r="L4722" s="494"/>
      <c r="M4722" s="419"/>
      <c r="N4722" s="420"/>
      <c r="O4722"/>
      <c r="P4722" s="412"/>
      <c r="Q4722" s="391"/>
      <c r="R4722" s="393"/>
    </row>
    <row r="4723" spans="1:19" s="128" customFormat="1" ht="30" customHeight="1" x14ac:dyDescent="0.25">
      <c r="A4723" s="61" t="s">
        <v>2836</v>
      </c>
      <c r="B4723" s="402" t="s">
        <v>2947</v>
      </c>
      <c r="C4723" s="403"/>
      <c r="D4723" s="404"/>
      <c r="E4723" s="760">
        <v>51250</v>
      </c>
      <c r="F4723" s="22" t="s">
        <v>11</v>
      </c>
      <c r="G4723" s="1563"/>
      <c r="H4723" s="758"/>
      <c r="I4723" s="20">
        <v>1.03</v>
      </c>
      <c r="J4723" s="22"/>
      <c r="K4723" s="23">
        <f>+E4723*I4723</f>
        <v>52787.5</v>
      </c>
      <c r="L4723" s="22" t="s">
        <v>11</v>
      </c>
      <c r="M4723" s="419"/>
      <c r="N4723" s="420"/>
      <c r="O4723"/>
      <c r="P4723" s="412"/>
      <c r="Q4723" s="391"/>
      <c r="R4723" s="393"/>
    </row>
    <row r="4724" spans="1:19" ht="30" customHeight="1" x14ac:dyDescent="0.25">
      <c r="A4724" s="61"/>
      <c r="B4724" s="410"/>
      <c r="C4724" s="410"/>
      <c r="D4724" s="410"/>
      <c r="E4724" s="405"/>
      <c r="F4724" s="338" t="s">
        <v>533</v>
      </c>
      <c r="G4724" s="339" t="s">
        <v>534</v>
      </c>
      <c r="H4724" s="339"/>
      <c r="I4724" s="339"/>
      <c r="J4724" s="339"/>
      <c r="K4724" s="340">
        <v>1.05</v>
      </c>
      <c r="L4724" s="10"/>
      <c r="M4724" s="419"/>
      <c r="N4724" s="420"/>
      <c r="O4724"/>
      <c r="P4724" s="412"/>
      <c r="Q4724" s="391"/>
      <c r="R4724" s="393"/>
    </row>
    <row r="4725" spans="1:19" ht="30" customHeight="1" x14ac:dyDescent="0.25">
      <c r="A4725" s="61"/>
      <c r="B4725" s="410"/>
      <c r="C4725" s="410"/>
      <c r="D4725" s="410"/>
      <c r="E4725" s="405"/>
      <c r="F4725" s="343"/>
      <c r="G4725" s="344" t="s">
        <v>535</v>
      </c>
      <c r="H4725" s="344"/>
      <c r="I4725" s="344"/>
      <c r="J4725" s="344"/>
      <c r="K4725" s="340">
        <v>1.02</v>
      </c>
      <c r="L4725" s="10"/>
      <c r="M4725" s="419"/>
      <c r="N4725" s="420"/>
      <c r="O4725"/>
      <c r="P4725" s="412"/>
      <c r="Q4725" s="391"/>
      <c r="R4725" s="393"/>
    </row>
    <row r="4726" spans="1:19" ht="30" customHeight="1" x14ac:dyDescent="0.25">
      <c r="A4726" s="1334"/>
      <c r="B4726" s="1652"/>
      <c r="C4726" s="1098"/>
      <c r="D4726" s="1653"/>
      <c r="E4726" s="405"/>
      <c r="F4726" s="22"/>
      <c r="G4726" s="730"/>
      <c r="H4726" s="649"/>
      <c r="I4726" s="20"/>
      <c r="J4726" s="20" t="s">
        <v>358</v>
      </c>
      <c r="K4726" s="23">
        <f>+K4723*K4724/K4725</f>
        <v>54340.073529411762</v>
      </c>
      <c r="L4726" s="20" t="s">
        <v>11</v>
      </c>
      <c r="M4726" s="419"/>
      <c r="N4726" s="420"/>
      <c r="O4726"/>
      <c r="P4726" s="412"/>
      <c r="Q4726" s="391"/>
      <c r="R4726" s="393"/>
    </row>
    <row r="4727" spans="1:19" s="49" customFormat="1" ht="30" customHeight="1" thickBot="1" x14ac:dyDescent="0.3">
      <c r="A4727" s="61"/>
      <c r="B4727" s="20"/>
      <c r="C4727" s="18"/>
      <c r="D4727" s="18"/>
      <c r="E4727" s="18"/>
      <c r="F4727" s="18"/>
      <c r="G4727" s="413" t="s">
        <v>537</v>
      </c>
      <c r="H4727" s="18"/>
      <c r="I4727" s="18"/>
      <c r="J4727" s="361">
        <f>VLOOKUP(B4721,'Mil Cost Premiums for RUCs'!$A$4:$R$265,18,FALSE)</f>
        <v>1.0240629999999997</v>
      </c>
      <c r="K4727" s="23">
        <f>+K4726*J4727</f>
        <v>55647.658718749983</v>
      </c>
      <c r="L4727" s="20" t="s">
        <v>11</v>
      </c>
      <c r="M4727" s="556"/>
      <c r="N4727" s="420"/>
      <c r="P4727" s="412"/>
      <c r="Q4727" s="391"/>
      <c r="R4727" s="393"/>
    </row>
    <row r="4728" spans="1:19" ht="30" customHeight="1" thickBot="1" x14ac:dyDescent="0.3">
      <c r="A4728" s="76"/>
      <c r="B4728" s="77"/>
      <c r="C4728" s="77"/>
      <c r="D4728" s="77"/>
      <c r="E4728" s="77"/>
      <c r="F4728" s="77"/>
      <c r="G4728" s="77"/>
      <c r="H4728" s="77"/>
      <c r="I4728" s="77"/>
      <c r="J4728" s="77"/>
      <c r="K4728" s="77"/>
      <c r="L4728" s="78"/>
      <c r="M4728" s="556"/>
      <c r="N4728" s="420"/>
      <c r="O4728"/>
      <c r="P4728" s="412"/>
      <c r="Q4728" s="391"/>
      <c r="R4728" s="393"/>
      <c r="S4728" s="128"/>
    </row>
    <row r="4729" spans="1:19" ht="30" customHeight="1" x14ac:dyDescent="0.25">
      <c r="A4729" s="30" t="s">
        <v>288</v>
      </c>
      <c r="B4729" s="208">
        <v>8924</v>
      </c>
      <c r="C4729" s="387" t="s">
        <v>2948</v>
      </c>
      <c r="D4729" s="388"/>
      <c r="E4729" s="177" t="s">
        <v>291</v>
      </c>
      <c r="F4729" s="178" t="s">
        <v>11</v>
      </c>
      <c r="G4729" s="465" t="s">
        <v>290</v>
      </c>
      <c r="H4729" s="179">
        <v>1</v>
      </c>
      <c r="I4729" s="177" t="s">
        <v>292</v>
      </c>
      <c r="J4729" s="38" t="s">
        <v>883</v>
      </c>
      <c r="K4729" s="38"/>
      <c r="L4729" s="389"/>
      <c r="M4729" s="556"/>
      <c r="N4729" s="556"/>
      <c r="O4729"/>
      <c r="P4729" s="412"/>
      <c r="Q4729" s="391"/>
      <c r="R4729" s="393"/>
      <c r="S4729" s="128"/>
    </row>
    <row r="4730" spans="1:19" s="128" customFormat="1" ht="30" customHeight="1" x14ac:dyDescent="0.25">
      <c r="A4730" s="48" t="s">
        <v>517</v>
      </c>
      <c r="B4730" s="394" t="s">
        <v>560</v>
      </c>
      <c r="C4730" s="395"/>
      <c r="D4730" s="396"/>
      <c r="E4730" s="397" t="s">
        <v>519</v>
      </c>
      <c r="F4730" s="397" t="s">
        <v>561</v>
      </c>
      <c r="G4730" s="1654" t="s">
        <v>562</v>
      </c>
      <c r="H4730" s="1654"/>
      <c r="I4730" s="181" t="s">
        <v>530</v>
      </c>
      <c r="J4730" s="181"/>
      <c r="K4730" s="493" t="s">
        <v>521</v>
      </c>
      <c r="L4730" s="494"/>
      <c r="M4730" s="419"/>
      <c r="N4730" s="556"/>
      <c r="P4730" s="713"/>
      <c r="Q4730" s="712"/>
      <c r="R4730" s="714"/>
      <c r="S4730"/>
    </row>
    <row r="4731" spans="1:19" ht="30" customHeight="1" x14ac:dyDescent="0.25">
      <c r="A4731" s="61" t="s">
        <v>2560</v>
      </c>
      <c r="B4731" s="402" t="s">
        <v>2949</v>
      </c>
      <c r="C4731" s="403"/>
      <c r="D4731" s="404"/>
      <c r="E4731" s="405">
        <v>13100</v>
      </c>
      <c r="F4731" s="20" t="s">
        <v>11</v>
      </c>
      <c r="G4731" s="730"/>
      <c r="H4731" s="1653"/>
      <c r="I4731" s="759">
        <v>1.06</v>
      </c>
      <c r="J4731" s="20"/>
      <c r="K4731" s="405">
        <f>+E4731*I4731</f>
        <v>13886</v>
      </c>
      <c r="L4731" s="20" t="s">
        <v>11</v>
      </c>
      <c r="M4731" s="419"/>
      <c r="N4731" s="556"/>
      <c r="O4731"/>
      <c r="P4731" s="412"/>
      <c r="Q4731" s="391"/>
      <c r="R4731" s="393"/>
    </row>
    <row r="4732" spans="1:19" ht="30" customHeight="1" x14ac:dyDescent="0.25">
      <c r="A4732" s="61" t="s">
        <v>782</v>
      </c>
      <c r="B4732" s="402" t="s">
        <v>2950</v>
      </c>
      <c r="C4732" s="403"/>
      <c r="D4732" s="404"/>
      <c r="E4732" s="756">
        <v>27</v>
      </c>
      <c r="F4732" s="22" t="s">
        <v>212</v>
      </c>
      <c r="G4732" s="1112">
        <v>64</v>
      </c>
      <c r="H4732" s="758" t="s">
        <v>1241</v>
      </c>
      <c r="I4732" s="20">
        <v>1.04</v>
      </c>
      <c r="J4732" s="20"/>
      <c r="K4732" s="405">
        <f>+E4732*I4732</f>
        <v>28.080000000000002</v>
      </c>
      <c r="L4732" s="22" t="s">
        <v>11</v>
      </c>
      <c r="M4732" s="419"/>
      <c r="N4732" s="420"/>
      <c r="O4732"/>
      <c r="P4732" s="412"/>
      <c r="Q4732" s="391"/>
      <c r="R4732" s="393"/>
    </row>
    <row r="4733" spans="1:19" ht="30" customHeight="1" x14ac:dyDescent="0.25">
      <c r="A4733" s="61"/>
      <c r="B4733" s="20"/>
      <c r="C4733" s="18"/>
      <c r="D4733" s="18"/>
      <c r="E4733" s="18"/>
      <c r="F4733" s="18"/>
      <c r="G4733" s="18"/>
      <c r="H4733" s="18"/>
      <c r="I4733" s="18"/>
      <c r="J4733" s="18" t="s">
        <v>578</v>
      </c>
      <c r="K4733" s="23">
        <f>SUM(K4731:K4732)</f>
        <v>13914.08</v>
      </c>
      <c r="L4733" s="20" t="s">
        <v>11</v>
      </c>
      <c r="M4733" s="419"/>
      <c r="N4733" s="420"/>
      <c r="O4733" s="43"/>
      <c r="P4733" s="672"/>
      <c r="Q4733" s="671"/>
      <c r="R4733" s="673"/>
    </row>
    <row r="4734" spans="1:19" ht="30" customHeight="1" x14ac:dyDescent="0.25">
      <c r="A4734" s="61"/>
      <c r="B4734" s="410"/>
      <c r="C4734" s="410"/>
      <c r="D4734" s="410"/>
      <c r="E4734" s="405"/>
      <c r="F4734" s="338" t="s">
        <v>533</v>
      </c>
      <c r="G4734" s="339" t="s">
        <v>534</v>
      </c>
      <c r="H4734" s="339"/>
      <c r="I4734" s="339"/>
      <c r="J4734" s="339"/>
      <c r="K4734" s="340">
        <v>1.07</v>
      </c>
      <c r="L4734" s="10"/>
      <c r="M4734" s="425"/>
      <c r="N4734" s="420"/>
      <c r="O4734" s="43"/>
      <c r="P4734" s="672"/>
      <c r="Q4734" s="671"/>
      <c r="R4734" s="673"/>
    </row>
    <row r="4735" spans="1:19" ht="30" customHeight="1" x14ac:dyDescent="0.25">
      <c r="A4735" s="61"/>
      <c r="B4735" s="410"/>
      <c r="C4735" s="410"/>
      <c r="D4735" s="410"/>
      <c r="E4735" s="405"/>
      <c r="F4735" s="343"/>
      <c r="G4735" s="344" t="s">
        <v>535</v>
      </c>
      <c r="H4735" s="344"/>
      <c r="I4735" s="344"/>
      <c r="J4735" s="344"/>
      <c r="K4735" s="340">
        <v>1.02</v>
      </c>
      <c r="L4735" s="10"/>
      <c r="M4735" s="419"/>
      <c r="N4735" s="420"/>
      <c r="O4735"/>
      <c r="P4735" s="412"/>
      <c r="Q4735" s="391"/>
      <c r="R4735" s="393"/>
    </row>
    <row r="4736" spans="1:19" ht="30" customHeight="1" x14ac:dyDescent="0.25">
      <c r="A4736" s="61"/>
      <c r="B4736" s="20"/>
      <c r="C4736" s="18"/>
      <c r="D4736" s="18"/>
      <c r="E4736" s="18"/>
      <c r="F4736" s="18"/>
      <c r="G4736" s="18"/>
      <c r="H4736" s="18"/>
      <c r="I4736" s="18"/>
      <c r="J4736" s="18" t="s">
        <v>358</v>
      </c>
      <c r="K4736" s="23">
        <f>+K4733*K4734/K4735</f>
        <v>14596.142745098039</v>
      </c>
      <c r="L4736" s="20" t="s">
        <v>11</v>
      </c>
      <c r="M4736" s="419"/>
      <c r="N4736" s="420"/>
      <c r="O4736"/>
      <c r="P4736" s="412"/>
      <c r="Q4736" s="391"/>
      <c r="R4736" s="393"/>
    </row>
    <row r="4737" spans="1:19" ht="30" customHeight="1" thickBot="1" x14ac:dyDescent="0.3">
      <c r="A4737" s="61"/>
      <c r="B4737" s="61"/>
      <c r="C4737" s="63"/>
      <c r="D4737" s="63"/>
      <c r="E4737" s="63"/>
      <c r="F4737" s="63"/>
      <c r="G4737" s="445" t="s">
        <v>537</v>
      </c>
      <c r="H4737" s="63"/>
      <c r="I4737" s="63"/>
      <c r="J4737" s="447">
        <f>VLOOKUP(B4729,'Mil Cost Premiums for RUCs'!$A$4:$R$265,18,FALSE)</f>
        <v>1.0240629999999997</v>
      </c>
      <c r="K4737" s="21">
        <f>+K4736*J4737</f>
        <v>14947.36972797333</v>
      </c>
      <c r="L4737" s="61" t="s">
        <v>11</v>
      </c>
      <c r="M4737" s="419"/>
      <c r="N4737" s="420"/>
      <c r="O4737"/>
      <c r="P4737" s="412"/>
      <c r="Q4737" s="391"/>
      <c r="R4737" s="393"/>
    </row>
    <row r="4738" spans="1:19" ht="30" customHeight="1" thickBot="1" x14ac:dyDescent="0.3">
      <c r="A4738" s="76"/>
      <c r="B4738" s="77"/>
      <c r="C4738" s="77"/>
      <c r="D4738" s="77"/>
      <c r="E4738" s="77"/>
      <c r="F4738" s="77"/>
      <c r="G4738" s="77"/>
      <c r="H4738" s="77"/>
      <c r="I4738" s="77"/>
      <c r="J4738" s="77"/>
      <c r="K4738" s="77"/>
      <c r="L4738" s="78"/>
      <c r="M4738" s="419"/>
      <c r="N4738" s="420"/>
      <c r="O4738"/>
      <c r="P4738" s="412"/>
      <c r="Q4738" s="391"/>
      <c r="R4738" s="393"/>
    </row>
    <row r="4739" spans="1:19" s="1533" customFormat="1" ht="30" customHeight="1" x14ac:dyDescent="0.25">
      <c r="A4739" s="306" t="s">
        <v>288</v>
      </c>
      <c r="B4739" s="307">
        <v>8926</v>
      </c>
      <c r="C4739" s="308" t="s">
        <v>2951</v>
      </c>
      <c r="D4739" s="309"/>
      <c r="E4739" s="310" t="s">
        <v>291</v>
      </c>
      <c r="F4739" s="311" t="s">
        <v>11</v>
      </c>
      <c r="G4739" s="1655" t="s">
        <v>290</v>
      </c>
      <c r="H4739" s="1656">
        <v>1</v>
      </c>
      <c r="I4739" s="310" t="s">
        <v>292</v>
      </c>
      <c r="J4739" s="38" t="s">
        <v>883</v>
      </c>
      <c r="K4739" s="38"/>
      <c r="L4739" s="389"/>
      <c r="M4739" s="419"/>
      <c r="N4739" s="420"/>
      <c r="O4739" s="49"/>
      <c r="P4739" s="412"/>
      <c r="Q4739" s="391"/>
      <c r="R4739" s="393"/>
      <c r="S4739" s="49"/>
    </row>
    <row r="4740" spans="1:19" s="128" customFormat="1" ht="30" customHeight="1" x14ac:dyDescent="0.25">
      <c r="A4740" s="695" t="s">
        <v>529</v>
      </c>
      <c r="B4740" s="543" t="s">
        <v>560</v>
      </c>
      <c r="C4740" s="544"/>
      <c r="D4740" s="545"/>
      <c r="E4740" s="546" t="s">
        <v>519</v>
      </c>
      <c r="F4740" s="546" t="s">
        <v>561</v>
      </c>
      <c r="G4740" s="547" t="s">
        <v>562</v>
      </c>
      <c r="H4740" s="548"/>
      <c r="I4740" s="424" t="s">
        <v>530</v>
      </c>
      <c r="J4740" s="424"/>
      <c r="K4740" s="493" t="s">
        <v>521</v>
      </c>
      <c r="L4740" s="494"/>
      <c r="M4740" s="670"/>
      <c r="N4740" s="420"/>
      <c r="O4740"/>
      <c r="P4740" s="412"/>
      <c r="Q4740" s="391"/>
      <c r="R4740" s="393"/>
      <c r="S4740"/>
    </row>
    <row r="4741" spans="1:19" ht="30" customHeight="1" x14ac:dyDescent="0.25">
      <c r="A4741" s="695"/>
      <c r="B4741" s="1657" t="s">
        <v>2952</v>
      </c>
      <c r="C4741" s="1658"/>
      <c r="D4741" s="571"/>
      <c r="E4741" s="546"/>
      <c r="F4741" s="546"/>
      <c r="G4741" s="1084"/>
      <c r="H4741" s="1085"/>
      <c r="I4741" s="1586"/>
      <c r="J4741" s="424"/>
      <c r="K4741" s="546"/>
      <c r="L4741" s="546"/>
      <c r="M4741" s="670"/>
      <c r="N4741" s="1603"/>
      <c r="O4741" s="43"/>
      <c r="P4741" s="672"/>
      <c r="Q4741" s="671"/>
      <c r="R4741" s="673"/>
    </row>
    <row r="4742" spans="1:19" ht="30" customHeight="1" x14ac:dyDescent="0.25">
      <c r="A4742" s="24" t="s">
        <v>2953</v>
      </c>
      <c r="B4742" s="435" t="s">
        <v>2954</v>
      </c>
      <c r="C4742" s="436"/>
      <c r="D4742" s="437"/>
      <c r="E4742" s="696">
        <v>42.14</v>
      </c>
      <c r="F4742" s="5" t="s">
        <v>9</v>
      </c>
      <c r="G4742" s="697">
        <v>5000</v>
      </c>
      <c r="H4742" s="698" t="s">
        <v>565</v>
      </c>
      <c r="I4742" s="333">
        <v>1.04</v>
      </c>
      <c r="J4742" s="10"/>
      <c r="K4742" s="1659">
        <f>+E4742*G4742*I4742</f>
        <v>219128</v>
      </c>
      <c r="L4742" s="10" t="s">
        <v>11</v>
      </c>
      <c r="M4742" s="419"/>
      <c r="N4742" s="671"/>
      <c r="O4742" s="43"/>
      <c r="P4742" s="672"/>
      <c r="Q4742" s="671"/>
      <c r="R4742" s="673"/>
    </row>
    <row r="4743" spans="1:19" ht="30" customHeight="1" x14ac:dyDescent="0.25">
      <c r="A4743" s="1660" t="s">
        <v>668</v>
      </c>
      <c r="B4743" s="346" t="s">
        <v>2955</v>
      </c>
      <c r="C4743" s="347"/>
      <c r="D4743" s="348"/>
      <c r="E4743" s="700">
        <f>+(720+1060)/2</f>
        <v>890</v>
      </c>
      <c r="F4743" s="5" t="s">
        <v>2956</v>
      </c>
      <c r="G4743" s="697">
        <v>100</v>
      </c>
      <c r="H4743" s="1596" t="s">
        <v>2957</v>
      </c>
      <c r="I4743" s="333">
        <v>1.04</v>
      </c>
      <c r="J4743" s="10"/>
      <c r="K4743" s="1659">
        <f>+E4743*G4743*I4743</f>
        <v>92560</v>
      </c>
      <c r="L4743" s="5"/>
      <c r="M4743" s="419"/>
      <c r="N4743" s="671"/>
      <c r="O4743" s="128"/>
      <c r="P4743" s="713"/>
      <c r="Q4743" s="712"/>
      <c r="R4743" s="714"/>
    </row>
    <row r="4744" spans="1:19" ht="30" customHeight="1" x14ac:dyDescent="0.25">
      <c r="A4744" s="1660" t="s">
        <v>644</v>
      </c>
      <c r="B4744" s="346" t="s">
        <v>2958</v>
      </c>
      <c r="C4744" s="347"/>
      <c r="D4744" s="348"/>
      <c r="E4744" s="700">
        <v>3.4</v>
      </c>
      <c r="F4744" s="5" t="s">
        <v>2087</v>
      </c>
      <c r="G4744" s="697">
        <v>1.1499999999999999</v>
      </c>
      <c r="H4744" s="1596" t="s">
        <v>2959</v>
      </c>
      <c r="I4744" s="333">
        <v>1.04</v>
      </c>
      <c r="J4744" s="10"/>
      <c r="K4744" s="1659">
        <f>5000*E4744*G4744*I4744</f>
        <v>20332</v>
      </c>
      <c r="L4744" s="5"/>
      <c r="M4744" s="419"/>
      <c r="N4744" s="420"/>
      <c r="O4744"/>
      <c r="P4744" s="412"/>
      <c r="Q4744" s="391"/>
      <c r="R4744" s="393"/>
    </row>
    <row r="4745" spans="1:19" ht="30" customHeight="1" x14ac:dyDescent="0.25">
      <c r="A4745" s="1660" t="s">
        <v>664</v>
      </c>
      <c r="B4745" s="346" t="s">
        <v>2960</v>
      </c>
      <c r="C4745" s="347"/>
      <c r="D4745" s="348"/>
      <c r="E4745" s="700">
        <f>+(19.15+29.75)/2</f>
        <v>24.45</v>
      </c>
      <c r="F4745" s="5" t="s">
        <v>2961</v>
      </c>
      <c r="G4745" s="697">
        <v>81</v>
      </c>
      <c r="H4745" s="1596"/>
      <c r="I4745" s="333">
        <v>1.02</v>
      </c>
      <c r="J4745" s="10"/>
      <c r="K4745" s="1659">
        <f t="shared" ref="K4745:K4750" si="63">+E4745*G4745*I4745</f>
        <v>2020.059</v>
      </c>
      <c r="L4745" s="5"/>
      <c r="M4745" s="419"/>
      <c r="N4745" s="420"/>
      <c r="O4745"/>
      <c r="P4745" s="412"/>
      <c r="Q4745" s="391"/>
      <c r="R4745" s="393"/>
    </row>
    <row r="4746" spans="1:19" ht="30" customHeight="1" x14ac:dyDescent="0.25">
      <c r="A4746" s="1660" t="s">
        <v>664</v>
      </c>
      <c r="B4746" s="346" t="s">
        <v>1454</v>
      </c>
      <c r="C4746" s="347"/>
      <c r="D4746" s="348"/>
      <c r="E4746" s="700">
        <f>+(1630+2450)/2</f>
        <v>2040</v>
      </c>
      <c r="F4746" s="5" t="s">
        <v>2962</v>
      </c>
      <c r="G4746" s="697">
        <v>1</v>
      </c>
      <c r="H4746" s="1596"/>
      <c r="I4746" s="333">
        <v>1.02</v>
      </c>
      <c r="J4746" s="10"/>
      <c r="K4746" s="1659">
        <f t="shared" si="63"/>
        <v>2080.8000000000002</v>
      </c>
      <c r="L4746" s="5"/>
      <c r="M4746" s="425"/>
      <c r="N4746" s="420"/>
      <c r="O4746"/>
      <c r="P4746" s="412"/>
      <c r="Q4746" s="391"/>
      <c r="R4746" s="393"/>
    </row>
    <row r="4747" spans="1:19" s="1533" customFormat="1" ht="30" customHeight="1" x14ac:dyDescent="0.25">
      <c r="A4747" s="1660" t="s">
        <v>668</v>
      </c>
      <c r="B4747" s="346" t="s">
        <v>2963</v>
      </c>
      <c r="C4747" s="347"/>
      <c r="D4747" s="348"/>
      <c r="E4747" s="700">
        <f>+(31.5+75)/2</f>
        <v>53.25</v>
      </c>
      <c r="F4747" s="5" t="s">
        <v>7</v>
      </c>
      <c r="G4747" s="697">
        <v>10</v>
      </c>
      <c r="H4747" s="1596"/>
      <c r="I4747" s="333">
        <v>1.04</v>
      </c>
      <c r="J4747" s="10"/>
      <c r="K4747" s="1659">
        <f t="shared" si="63"/>
        <v>553.80000000000007</v>
      </c>
      <c r="L4747" s="5"/>
      <c r="M4747" s="419"/>
      <c r="N4747" s="420"/>
      <c r="O4747" s="49"/>
      <c r="P4747" s="412"/>
      <c r="Q4747" s="391"/>
      <c r="R4747" s="393"/>
      <c r="S4747" s="49"/>
    </row>
    <row r="4748" spans="1:19" s="128" customFormat="1" ht="30" customHeight="1" x14ac:dyDescent="0.25">
      <c r="A4748" s="1660" t="s">
        <v>668</v>
      </c>
      <c r="B4748" s="346" t="s">
        <v>671</v>
      </c>
      <c r="C4748" s="347"/>
      <c r="D4748" s="348"/>
      <c r="E4748" s="700">
        <f>+(5900+11300)/2</f>
        <v>8600</v>
      </c>
      <c r="F4748" s="5" t="s">
        <v>2962</v>
      </c>
      <c r="G4748" s="697">
        <v>1</v>
      </c>
      <c r="H4748" s="1596"/>
      <c r="I4748" s="333">
        <v>1.04</v>
      </c>
      <c r="J4748" s="10"/>
      <c r="K4748" s="1659">
        <f t="shared" si="63"/>
        <v>8944</v>
      </c>
      <c r="L4748" s="5"/>
      <c r="M4748" s="670"/>
      <c r="N4748" s="420"/>
      <c r="O4748"/>
      <c r="P4748" s="412"/>
      <c r="Q4748" s="391"/>
      <c r="R4748" s="393"/>
      <c r="S4748"/>
    </row>
    <row r="4749" spans="1:19" ht="30" customHeight="1" x14ac:dyDescent="0.25">
      <c r="A4749" s="1660" t="s">
        <v>668</v>
      </c>
      <c r="B4749" s="435" t="s">
        <v>1360</v>
      </c>
      <c r="C4749" s="436"/>
      <c r="D4749" s="437"/>
      <c r="E4749" s="700">
        <f>+(605+925)/2</f>
        <v>765</v>
      </c>
      <c r="F4749" s="5" t="s">
        <v>2962</v>
      </c>
      <c r="G4749" s="697">
        <v>1</v>
      </c>
      <c r="H4749" s="1596"/>
      <c r="I4749" s="333">
        <v>1.04</v>
      </c>
      <c r="J4749" s="10"/>
      <c r="K4749" s="1659">
        <f t="shared" si="63"/>
        <v>795.6</v>
      </c>
      <c r="L4749" s="5"/>
      <c r="M4749" s="670"/>
      <c r="N4749" s="420"/>
      <c r="O4749" s="43"/>
      <c r="P4749" s="672"/>
      <c r="Q4749" s="671"/>
      <c r="R4749" s="673"/>
    </row>
    <row r="4750" spans="1:19" ht="30" customHeight="1" x14ac:dyDescent="0.25">
      <c r="A4750" s="1660" t="s">
        <v>668</v>
      </c>
      <c r="B4750" s="346" t="s">
        <v>673</v>
      </c>
      <c r="C4750" s="347"/>
      <c r="D4750" s="348"/>
      <c r="E4750" s="700">
        <f>+(1060+3175)/2</f>
        <v>2117.5</v>
      </c>
      <c r="F4750" s="5" t="s">
        <v>2962</v>
      </c>
      <c r="G4750" s="697">
        <v>1</v>
      </c>
      <c r="H4750" s="1596"/>
      <c r="I4750" s="333">
        <v>1.04</v>
      </c>
      <c r="J4750" s="10"/>
      <c r="K4750" s="1659">
        <f t="shared" si="63"/>
        <v>2202.2000000000003</v>
      </c>
      <c r="L4750" s="5"/>
      <c r="M4750" s="419"/>
      <c r="N4750" s="671"/>
      <c r="O4750" s="43"/>
      <c r="P4750" s="672"/>
      <c r="Q4750" s="671"/>
      <c r="R4750" s="673"/>
    </row>
    <row r="4751" spans="1:19" s="128" customFormat="1" ht="30" customHeight="1" x14ac:dyDescent="0.25">
      <c r="A4751" s="64"/>
      <c r="B4751" s="1661" t="s">
        <v>2964</v>
      </c>
      <c r="C4751" s="1662"/>
      <c r="D4751" s="1663"/>
      <c r="E4751" s="13"/>
      <c r="F4751" s="13"/>
      <c r="G4751" s="13"/>
      <c r="H4751" s="13"/>
      <c r="I4751" s="333"/>
      <c r="J4751" s="10"/>
      <c r="K4751" s="1593"/>
      <c r="L4751" s="13"/>
      <c r="M4751" s="419"/>
      <c r="N4751" s="671"/>
      <c r="O4751"/>
      <c r="P4751" s="412"/>
      <c r="Q4751" s="391"/>
      <c r="R4751" s="393"/>
      <c r="S4751"/>
    </row>
    <row r="4752" spans="1:19" ht="30" customHeight="1" x14ac:dyDescent="0.25">
      <c r="A4752" s="24" t="s">
        <v>668</v>
      </c>
      <c r="B4752" s="426" t="s">
        <v>2965</v>
      </c>
      <c r="C4752" s="427"/>
      <c r="D4752" s="428"/>
      <c r="E4752" s="14">
        <f>+(1080+1900)/2</f>
        <v>1490</v>
      </c>
      <c r="F4752" s="10" t="s">
        <v>11</v>
      </c>
      <c r="G4752" s="13">
        <v>1</v>
      </c>
      <c r="H4752" s="13" t="s">
        <v>11</v>
      </c>
      <c r="I4752" s="333">
        <v>1.04</v>
      </c>
      <c r="J4752" s="10"/>
      <c r="K4752" s="1593">
        <f>+E4752*G4752*I4752</f>
        <v>1549.6000000000001</v>
      </c>
      <c r="L4752" s="13"/>
      <c r="M4752" s="419"/>
      <c r="N4752" s="420"/>
      <c r="O4752"/>
      <c r="P4752" s="412"/>
      <c r="Q4752" s="391"/>
      <c r="R4752" s="393"/>
    </row>
    <row r="4753" spans="1:19" ht="30" customHeight="1" x14ac:dyDescent="0.25">
      <c r="A4753" s="24" t="s">
        <v>668</v>
      </c>
      <c r="B4753" s="426" t="s">
        <v>2966</v>
      </c>
      <c r="C4753" s="427"/>
      <c r="D4753" s="428"/>
      <c r="E4753" s="14">
        <f>+(860+1210)/2</f>
        <v>1035</v>
      </c>
      <c r="F4753" s="10" t="s">
        <v>11</v>
      </c>
      <c r="G4753" s="13">
        <v>1</v>
      </c>
      <c r="H4753" s="13" t="s">
        <v>11</v>
      </c>
      <c r="I4753" s="333">
        <v>1.04</v>
      </c>
      <c r="J4753" s="10"/>
      <c r="K4753" s="1593">
        <f>+E4753*G4753*I4753</f>
        <v>1076.4000000000001</v>
      </c>
      <c r="L4753" s="13"/>
      <c r="M4753" s="419"/>
      <c r="N4753" s="420"/>
      <c r="O4753"/>
      <c r="P4753" s="412"/>
      <c r="Q4753" s="391"/>
      <c r="R4753" s="393"/>
    </row>
    <row r="4754" spans="1:19" ht="30" customHeight="1" x14ac:dyDescent="0.25">
      <c r="A4754" s="64"/>
      <c r="B4754" s="551"/>
      <c r="C4754" s="551"/>
      <c r="D4754" s="551"/>
      <c r="E4754" s="326"/>
      <c r="F4754" s="10"/>
      <c r="G4754" s="10"/>
      <c r="H4754" s="10"/>
      <c r="I4754" s="333"/>
      <c r="J4754" s="10" t="s">
        <v>646</v>
      </c>
      <c r="K4754" s="1593">
        <f>SUM(K4742:K4753)</f>
        <v>351242.45899999997</v>
      </c>
      <c r="L4754" s="10" t="s">
        <v>11</v>
      </c>
      <c r="M4754" s="425"/>
      <c r="N4754" s="1603"/>
      <c r="O4754" s="128"/>
      <c r="P4754" s="713"/>
      <c r="Q4754" s="712"/>
      <c r="R4754" s="714"/>
    </row>
    <row r="4755" spans="1:19" s="49" customFormat="1" ht="30" customHeight="1" x14ac:dyDescent="0.25">
      <c r="A4755" s="61"/>
      <c r="B4755" s="410"/>
      <c r="C4755" s="410"/>
      <c r="D4755" s="410"/>
      <c r="E4755" s="405"/>
      <c r="F4755" s="338" t="s">
        <v>533</v>
      </c>
      <c r="G4755" s="339" t="s">
        <v>534</v>
      </c>
      <c r="H4755" s="339"/>
      <c r="I4755" s="339"/>
      <c r="J4755" s="339"/>
      <c r="K4755" s="340">
        <v>1.07</v>
      </c>
      <c r="L4755" s="10"/>
      <c r="M4755" s="419"/>
      <c r="N4755" s="420"/>
      <c r="P4755" s="412"/>
      <c r="Q4755" s="391"/>
      <c r="R4755" s="393"/>
    </row>
    <row r="4756" spans="1:19" ht="30" customHeight="1" x14ac:dyDescent="0.25">
      <c r="A4756" s="61"/>
      <c r="B4756" s="410"/>
      <c r="C4756" s="410"/>
      <c r="D4756" s="410"/>
      <c r="E4756" s="405"/>
      <c r="F4756" s="343"/>
      <c r="G4756" s="344" t="s">
        <v>535</v>
      </c>
      <c r="H4756" s="344"/>
      <c r="I4756" s="344"/>
      <c r="J4756" s="344"/>
      <c r="K4756" s="340">
        <v>1.02</v>
      </c>
      <c r="L4756" s="10"/>
      <c r="M4756" s="670"/>
      <c r="N4756" s="420"/>
      <c r="O4756"/>
      <c r="P4756" s="412"/>
      <c r="Q4756" s="391"/>
      <c r="R4756" s="393"/>
    </row>
    <row r="4757" spans="1:19" ht="30" customHeight="1" x14ac:dyDescent="0.25">
      <c r="A4757" s="64"/>
      <c r="B4757" s="24"/>
      <c r="C4757" s="64"/>
      <c r="D4757" s="64"/>
      <c r="E4757" s="64"/>
      <c r="F4757" s="64"/>
      <c r="G4757" s="64"/>
      <c r="H4757" s="64"/>
      <c r="I4757" s="225"/>
      <c r="J4757" s="24" t="s">
        <v>358</v>
      </c>
      <c r="K4757" s="1664">
        <f>+K4754*K4755/K4756</f>
        <v>368460.22659803921</v>
      </c>
      <c r="L4757" s="24" t="s">
        <v>11</v>
      </c>
      <c r="M4757" s="670"/>
      <c r="N4757" s="420"/>
      <c r="O4757"/>
      <c r="P4757" s="412"/>
      <c r="Q4757" s="391"/>
      <c r="R4757" s="393"/>
      <c r="S4757" s="128"/>
    </row>
    <row r="4758" spans="1:19" ht="30" customHeight="1" x14ac:dyDescent="0.25">
      <c r="A4758" s="64"/>
      <c r="B4758" s="24"/>
      <c r="C4758" s="64"/>
      <c r="D4758" s="64"/>
      <c r="E4758" s="64"/>
      <c r="F4758" s="64"/>
      <c r="G4758" s="708" t="s">
        <v>652</v>
      </c>
      <c r="H4758" s="64"/>
      <c r="I4758" s="225"/>
      <c r="J4758" s="447">
        <f>VLOOKUP(B4739,'Mil Cost Premiums for RUCs'!$A$4:$R$265,18,FALSE)</f>
        <v>1.0517127009999996</v>
      </c>
      <c r="K4758" s="1664">
        <f>+K4757*J4758</f>
        <v>387514.30012649571</v>
      </c>
      <c r="L4758" s="24" t="s">
        <v>11</v>
      </c>
      <c r="M4758" s="419"/>
      <c r="N4758" s="671"/>
      <c r="O4758"/>
      <c r="P4758" s="412"/>
      <c r="Q4758" s="391"/>
      <c r="R4758" s="393"/>
      <c r="S4758" s="128"/>
    </row>
    <row r="4759" spans="1:19" ht="75" customHeight="1" x14ac:dyDescent="0.25">
      <c r="A4759" s="580" t="s">
        <v>538</v>
      </c>
      <c r="B4759" s="532"/>
      <c r="C4759" s="532"/>
      <c r="D4759" s="532"/>
      <c r="E4759" s="532"/>
      <c r="F4759" s="532"/>
      <c r="G4759" s="532"/>
      <c r="H4759" s="532"/>
      <c r="I4759" s="532"/>
      <c r="J4759" s="532"/>
      <c r="K4759" s="532"/>
      <c r="L4759" s="533"/>
      <c r="M4759" s="419"/>
      <c r="N4759" s="671"/>
      <c r="O4759" s="43"/>
      <c r="P4759" s="672"/>
      <c r="Q4759" s="671"/>
      <c r="R4759" s="673"/>
    </row>
    <row r="4760" spans="1:19" ht="30" customHeight="1" x14ac:dyDescent="0.25">
      <c r="A4760" s="217" t="s">
        <v>539</v>
      </c>
      <c r="B4760" s="218"/>
      <c r="C4760" s="219"/>
      <c r="D4760" s="580" t="s">
        <v>2967</v>
      </c>
      <c r="E4760" s="532"/>
      <c r="F4760" s="532"/>
      <c r="G4760" s="532"/>
      <c r="H4760" s="532"/>
      <c r="I4760" s="532"/>
      <c r="J4760" s="532"/>
      <c r="K4760" s="532"/>
      <c r="L4760" s="533"/>
      <c r="M4760" s="419"/>
      <c r="N4760" s="420"/>
      <c r="O4760" s="43"/>
      <c r="P4760" s="672"/>
      <c r="Q4760" s="671"/>
      <c r="R4760" s="673"/>
    </row>
    <row r="4761" spans="1:19" ht="30" customHeight="1" x14ac:dyDescent="0.25">
      <c r="A4761" s="217" t="s">
        <v>541</v>
      </c>
      <c r="B4761" s="218"/>
      <c r="C4761" s="219"/>
      <c r="D4761" s="580" t="s">
        <v>2968</v>
      </c>
      <c r="E4761" s="532"/>
      <c r="F4761" s="532"/>
      <c r="G4761" s="532"/>
      <c r="H4761" s="532"/>
      <c r="I4761" s="532"/>
      <c r="J4761" s="532"/>
      <c r="K4761" s="532"/>
      <c r="L4761" s="533"/>
      <c r="M4761" s="419"/>
      <c r="N4761" s="420"/>
      <c r="O4761"/>
      <c r="P4761" s="412"/>
      <c r="Q4761" s="391"/>
      <c r="R4761" s="393"/>
      <c r="S4761" s="128"/>
    </row>
    <row r="4762" spans="1:19" ht="30" customHeight="1" x14ac:dyDescent="0.25">
      <c r="A4762" s="217" t="s">
        <v>543</v>
      </c>
      <c r="B4762" s="218"/>
      <c r="C4762" s="219"/>
      <c r="D4762" s="580" t="s">
        <v>2969</v>
      </c>
      <c r="E4762" s="532"/>
      <c r="F4762" s="532"/>
      <c r="G4762" s="532"/>
      <c r="H4762" s="532"/>
      <c r="I4762" s="532"/>
      <c r="J4762" s="532"/>
      <c r="K4762" s="532"/>
      <c r="L4762" s="533"/>
      <c r="M4762" s="425"/>
      <c r="N4762" s="420"/>
      <c r="O4762"/>
      <c r="P4762" s="412"/>
      <c r="Q4762" s="391"/>
      <c r="R4762" s="393"/>
    </row>
    <row r="4763" spans="1:19" ht="30" customHeight="1" x14ac:dyDescent="0.25">
      <c r="A4763" s="217" t="s">
        <v>546</v>
      </c>
      <c r="B4763" s="218"/>
      <c r="C4763" s="219"/>
      <c r="D4763" s="580" t="s">
        <v>2970</v>
      </c>
      <c r="E4763" s="532"/>
      <c r="F4763" s="532"/>
      <c r="G4763" s="532"/>
      <c r="H4763" s="532"/>
      <c r="I4763" s="532"/>
      <c r="J4763" s="532"/>
      <c r="K4763" s="532"/>
      <c r="L4763" s="533"/>
      <c r="M4763" s="419"/>
      <c r="N4763" s="420"/>
      <c r="O4763"/>
      <c r="P4763" s="412"/>
      <c r="Q4763" s="391"/>
      <c r="R4763" s="393"/>
    </row>
    <row r="4764" spans="1:19" ht="30" customHeight="1" x14ac:dyDescent="0.25">
      <c r="A4764" s="217" t="s">
        <v>548</v>
      </c>
      <c r="B4764" s="218"/>
      <c r="C4764" s="219"/>
      <c r="D4764" s="580" t="s">
        <v>2971</v>
      </c>
      <c r="E4764" s="532"/>
      <c r="F4764" s="532"/>
      <c r="G4764" s="532"/>
      <c r="H4764" s="532"/>
      <c r="I4764" s="532"/>
      <c r="J4764" s="532"/>
      <c r="K4764" s="532"/>
      <c r="L4764" s="533"/>
      <c r="M4764" s="419"/>
      <c r="N4764" s="420"/>
      <c r="O4764"/>
      <c r="P4764" s="412"/>
      <c r="Q4764" s="391"/>
      <c r="R4764" s="393"/>
    </row>
    <row r="4765" spans="1:19" s="49" customFormat="1" ht="30" customHeight="1" x14ac:dyDescent="0.25">
      <c r="A4765" s="217" t="s">
        <v>550</v>
      </c>
      <c r="B4765" s="218"/>
      <c r="C4765" s="219"/>
      <c r="D4765" s="580" t="s">
        <v>2441</v>
      </c>
      <c r="E4765" s="532"/>
      <c r="F4765" s="532"/>
      <c r="G4765" s="532"/>
      <c r="H4765" s="532"/>
      <c r="I4765" s="532"/>
      <c r="J4765" s="532"/>
      <c r="K4765" s="532"/>
      <c r="L4765" s="533"/>
      <c r="M4765" s="419"/>
      <c r="N4765" s="1603"/>
      <c r="P4765" s="412"/>
      <c r="Q4765" s="391"/>
      <c r="R4765" s="393"/>
    </row>
    <row r="4766" spans="1:19" ht="30" customHeight="1" x14ac:dyDescent="0.25">
      <c r="A4766" s="217" t="s">
        <v>552</v>
      </c>
      <c r="B4766" s="218"/>
      <c r="C4766" s="219"/>
      <c r="D4766" s="580" t="s">
        <v>2972</v>
      </c>
      <c r="E4766" s="532"/>
      <c r="F4766" s="532"/>
      <c r="G4766" s="532"/>
      <c r="H4766" s="532"/>
      <c r="I4766" s="532"/>
      <c r="J4766" s="532"/>
      <c r="K4766" s="532"/>
      <c r="L4766" s="533"/>
      <c r="M4766" s="670"/>
      <c r="N4766" s="420"/>
      <c r="O4766"/>
      <c r="P4766" s="412"/>
      <c r="Q4766" s="391"/>
      <c r="R4766" s="393"/>
    </row>
    <row r="4767" spans="1:19" s="128" customFormat="1" ht="60" customHeight="1" x14ac:dyDescent="0.25">
      <c r="A4767" s="217" t="s">
        <v>553</v>
      </c>
      <c r="B4767" s="218"/>
      <c r="C4767" s="219"/>
      <c r="D4767" s="386" t="s">
        <v>1253</v>
      </c>
      <c r="E4767" s="849"/>
      <c r="F4767" s="849"/>
      <c r="G4767" s="849"/>
      <c r="H4767" s="849"/>
      <c r="I4767" s="849"/>
      <c r="J4767" s="849"/>
      <c r="K4767" s="849"/>
      <c r="L4767" s="850"/>
      <c r="M4767" s="670"/>
      <c r="N4767" s="420"/>
      <c r="O4767"/>
      <c r="P4767" s="412"/>
      <c r="Q4767" s="391"/>
      <c r="R4767" s="393"/>
      <c r="S4767"/>
    </row>
    <row r="4768" spans="1:19" s="128" customFormat="1" ht="90" customHeight="1" thickBot="1" x14ac:dyDescent="0.3">
      <c r="A4768" s="1282" t="s">
        <v>556</v>
      </c>
      <c r="B4768" s="1283"/>
      <c r="C4768" s="1284"/>
      <c r="D4768" s="577" t="s">
        <v>2973</v>
      </c>
      <c r="E4768" s="578"/>
      <c r="F4768" s="578"/>
      <c r="G4768" s="578"/>
      <c r="H4768" s="578"/>
      <c r="I4768" s="578"/>
      <c r="J4768" s="578"/>
      <c r="K4768" s="578"/>
      <c r="L4768" s="579"/>
      <c r="M4768" s="419"/>
      <c r="N4768" s="671"/>
      <c r="O4768"/>
      <c r="P4768" s="412"/>
      <c r="Q4768" s="391"/>
      <c r="R4768" s="393"/>
    </row>
    <row r="4769" spans="1:18" s="128" customFormat="1" ht="30" customHeight="1" thickBot="1" x14ac:dyDescent="0.3">
      <c r="A4769" s="76"/>
      <c r="B4769" s="77"/>
      <c r="C4769" s="77"/>
      <c r="D4769" s="77"/>
      <c r="E4769" s="77"/>
      <c r="F4769" s="77"/>
      <c r="G4769" s="77"/>
      <c r="H4769" s="77"/>
      <c r="I4769" s="77"/>
      <c r="J4769" s="77"/>
      <c r="K4769" s="77"/>
      <c r="L4769" s="78"/>
      <c r="M4769" s="419"/>
      <c r="N4769" s="671"/>
      <c r="O4769"/>
      <c r="P4769" s="412"/>
      <c r="Q4769" s="391"/>
      <c r="R4769" s="393"/>
    </row>
    <row r="4770" spans="1:18" s="128" customFormat="1" ht="30" customHeight="1" x14ac:dyDescent="0.25">
      <c r="A4770" s="30" t="s">
        <v>288</v>
      </c>
      <c r="B4770" s="208">
        <v>8927</v>
      </c>
      <c r="C4770" s="209" t="s">
        <v>2974</v>
      </c>
      <c r="D4770" s="210"/>
      <c r="E4770" s="177" t="s">
        <v>291</v>
      </c>
      <c r="F4770" s="178" t="s">
        <v>11</v>
      </c>
      <c r="G4770" s="465" t="s">
        <v>290</v>
      </c>
      <c r="H4770" s="179">
        <v>1</v>
      </c>
      <c r="I4770" s="177" t="s">
        <v>292</v>
      </c>
      <c r="J4770" s="38" t="s">
        <v>883</v>
      </c>
      <c r="K4770" s="38"/>
      <c r="L4770" s="389"/>
      <c r="M4770" s="419"/>
      <c r="N4770" s="420"/>
      <c r="O4770"/>
      <c r="P4770" s="412"/>
      <c r="Q4770" s="391"/>
      <c r="R4770" s="393"/>
    </row>
    <row r="4771" spans="1:18" s="128" customFormat="1" ht="30" customHeight="1" x14ac:dyDescent="0.25">
      <c r="A4771" s="48" t="s">
        <v>529</v>
      </c>
      <c r="B4771" s="394" t="s">
        <v>560</v>
      </c>
      <c r="C4771" s="395"/>
      <c r="D4771" s="396"/>
      <c r="E4771" s="397" t="s">
        <v>519</v>
      </c>
      <c r="F4771" s="397" t="s">
        <v>561</v>
      </c>
      <c r="G4771" s="398" t="s">
        <v>562</v>
      </c>
      <c r="H4771" s="399"/>
      <c r="I4771" s="181" t="s">
        <v>530</v>
      </c>
      <c r="J4771" s="181"/>
      <c r="K4771" s="493" t="s">
        <v>521</v>
      </c>
      <c r="L4771" s="494"/>
      <c r="M4771" s="419"/>
      <c r="N4771" s="420"/>
      <c r="O4771"/>
      <c r="P4771" s="412"/>
      <c r="Q4771" s="391"/>
      <c r="R4771" s="393"/>
    </row>
    <row r="4772" spans="1:18" s="128" customFormat="1" ht="30" customHeight="1" x14ac:dyDescent="0.25">
      <c r="A4772" s="61" t="s">
        <v>782</v>
      </c>
      <c r="B4772" s="402" t="s">
        <v>2950</v>
      </c>
      <c r="C4772" s="403"/>
      <c r="D4772" s="404"/>
      <c r="E4772" s="756">
        <v>27</v>
      </c>
      <c r="F4772" s="22" t="s">
        <v>212</v>
      </c>
      <c r="G4772" s="1112">
        <v>900</v>
      </c>
      <c r="H4772" s="758" t="s">
        <v>1241</v>
      </c>
      <c r="I4772" s="20">
        <v>1.04</v>
      </c>
      <c r="J4772" s="20"/>
      <c r="K4772" s="776">
        <f>+E4772*G4772*I4772</f>
        <v>25272</v>
      </c>
      <c r="L4772" s="22" t="s">
        <v>11</v>
      </c>
      <c r="M4772" s="425"/>
      <c r="N4772" s="420"/>
      <c r="O4772"/>
      <c r="P4772" s="412"/>
      <c r="Q4772" s="391"/>
      <c r="R4772" s="393"/>
    </row>
    <row r="4773" spans="1:18" s="128" customFormat="1" ht="30" customHeight="1" x14ac:dyDescent="0.25">
      <c r="A4773" s="61"/>
      <c r="B4773" s="503" t="s">
        <v>2975</v>
      </c>
      <c r="C4773" s="504"/>
      <c r="D4773" s="505"/>
      <c r="E4773" s="760"/>
      <c r="F4773" s="22"/>
      <c r="G4773" s="1112"/>
      <c r="H4773" s="758"/>
      <c r="I4773" s="20"/>
      <c r="J4773" s="20"/>
      <c r="K4773" s="776"/>
      <c r="L4773" s="22"/>
      <c r="M4773" s="419"/>
      <c r="N4773" s="420"/>
      <c r="O4773"/>
      <c r="P4773" s="412"/>
      <c r="Q4773" s="391"/>
      <c r="R4773" s="393"/>
    </row>
    <row r="4774" spans="1:18" s="128" customFormat="1" ht="30" customHeight="1" x14ac:dyDescent="0.25">
      <c r="A4774" s="63"/>
      <c r="B4774" s="186"/>
      <c r="C4774" s="186"/>
      <c r="D4774" s="186"/>
      <c r="E4774" s="405"/>
      <c r="F4774" s="20"/>
      <c r="G4774" s="20"/>
      <c r="H4774" s="20"/>
      <c r="I4774" s="20"/>
      <c r="J4774" s="20" t="s">
        <v>578</v>
      </c>
      <c r="K4774" s="780">
        <f>SUM(K4772:K4773)</f>
        <v>25272</v>
      </c>
      <c r="L4774" s="20" t="s">
        <v>11</v>
      </c>
      <c r="M4774" s="419"/>
      <c r="N4774" s="420"/>
      <c r="O4774"/>
      <c r="P4774" s="412"/>
      <c r="Q4774" s="391"/>
      <c r="R4774" s="393"/>
    </row>
    <row r="4775" spans="1:18" s="128" customFormat="1" ht="30" customHeight="1" x14ac:dyDescent="0.25">
      <c r="A4775" s="61"/>
      <c r="B4775" s="410"/>
      <c r="C4775" s="410"/>
      <c r="D4775" s="410"/>
      <c r="E4775" s="405"/>
      <c r="F4775" s="338" t="s">
        <v>533</v>
      </c>
      <c r="G4775" s="339" t="s">
        <v>534</v>
      </c>
      <c r="H4775" s="339"/>
      <c r="I4775" s="339"/>
      <c r="J4775" s="339"/>
      <c r="K4775" s="340">
        <v>1.07</v>
      </c>
      <c r="L4775" s="10"/>
      <c r="M4775" s="419"/>
      <c r="N4775" s="420"/>
      <c r="O4775"/>
      <c r="P4775" s="412"/>
      <c r="Q4775" s="391"/>
      <c r="R4775" s="393"/>
    </row>
    <row r="4776" spans="1:18" s="128" customFormat="1" ht="30" customHeight="1" x14ac:dyDescent="0.25">
      <c r="A4776" s="61"/>
      <c r="B4776" s="410"/>
      <c r="C4776" s="410"/>
      <c r="D4776" s="410"/>
      <c r="E4776" s="405"/>
      <c r="F4776" s="343"/>
      <c r="G4776" s="344" t="s">
        <v>535</v>
      </c>
      <c r="H4776" s="344"/>
      <c r="I4776" s="344"/>
      <c r="J4776" s="344"/>
      <c r="K4776" s="340">
        <v>1.02</v>
      </c>
      <c r="L4776" s="10"/>
      <c r="M4776" s="419"/>
      <c r="N4776" s="420"/>
      <c r="O4776"/>
      <c r="P4776" s="412"/>
      <c r="Q4776" s="391"/>
      <c r="R4776" s="393"/>
    </row>
    <row r="4777" spans="1:18" s="128" customFormat="1" ht="30" customHeight="1" x14ac:dyDescent="0.25">
      <c r="A4777" s="63"/>
      <c r="B4777" s="20"/>
      <c r="C4777" s="18"/>
      <c r="D4777" s="18"/>
      <c r="E4777" s="18"/>
      <c r="F4777" s="18"/>
      <c r="G4777" s="18"/>
      <c r="H4777" s="18"/>
      <c r="I4777" s="18"/>
      <c r="J4777" s="20" t="s">
        <v>358</v>
      </c>
      <c r="K4777" s="23">
        <f>+K4774*K4775/K4776</f>
        <v>26510.823529411766</v>
      </c>
      <c r="L4777" s="20" t="s">
        <v>11</v>
      </c>
      <c r="M4777" s="419"/>
      <c r="N4777" s="420"/>
      <c r="O4777"/>
      <c r="P4777" s="412"/>
      <c r="Q4777" s="391"/>
      <c r="R4777" s="393"/>
    </row>
    <row r="4778" spans="1:18" s="128" customFormat="1" ht="30" customHeight="1" thickBot="1" x14ac:dyDescent="0.3">
      <c r="A4778" s="61"/>
      <c r="B4778" s="20"/>
      <c r="C4778" s="18"/>
      <c r="D4778" s="18"/>
      <c r="E4778" s="18"/>
      <c r="F4778" s="18"/>
      <c r="G4778" s="413" t="s">
        <v>537</v>
      </c>
      <c r="H4778" s="18"/>
      <c r="I4778" s="18"/>
      <c r="J4778" s="361">
        <f>VLOOKUP(B4770,'Mil Cost Premiums for RUCs'!$A$4:$R$265,18,FALSE)</f>
        <v>1.0209999999999999</v>
      </c>
      <c r="K4778" s="23">
        <f>+K4777*J4778</f>
        <v>27067.550823529411</v>
      </c>
      <c r="L4778" s="20" t="s">
        <v>11</v>
      </c>
      <c r="M4778" s="419"/>
      <c r="N4778" s="420"/>
      <c r="O4778"/>
      <c r="P4778" s="412"/>
      <c r="Q4778" s="391"/>
      <c r="R4778" s="393"/>
    </row>
    <row r="4779" spans="1:18" s="128" customFormat="1" ht="30" customHeight="1" thickBot="1" x14ac:dyDescent="0.3">
      <c r="A4779" s="76"/>
      <c r="B4779" s="77"/>
      <c r="C4779" s="77"/>
      <c r="D4779" s="77"/>
      <c r="E4779" s="77"/>
      <c r="F4779" s="77"/>
      <c r="G4779" s="77"/>
      <c r="H4779" s="77"/>
      <c r="I4779" s="77"/>
      <c r="J4779" s="77"/>
      <c r="K4779" s="77"/>
      <c r="L4779" s="78"/>
      <c r="M4779" s="419"/>
      <c r="N4779" s="420"/>
      <c r="O4779"/>
      <c r="P4779" s="412"/>
      <c r="Q4779" s="391"/>
      <c r="R4779" s="393"/>
    </row>
    <row r="4780" spans="1:18" ht="30" customHeight="1" x14ac:dyDescent="0.25">
      <c r="A4780" s="30" t="s">
        <v>288</v>
      </c>
      <c r="B4780" s="208">
        <v>8928</v>
      </c>
      <c r="C4780" s="209" t="s">
        <v>2976</v>
      </c>
      <c r="D4780" s="210"/>
      <c r="E4780" s="177" t="s">
        <v>291</v>
      </c>
      <c r="F4780" s="178" t="s">
        <v>11</v>
      </c>
      <c r="G4780" s="465" t="s">
        <v>290</v>
      </c>
      <c r="H4780" s="179">
        <v>1</v>
      </c>
      <c r="I4780" s="177" t="s">
        <v>292</v>
      </c>
      <c r="J4780" s="38" t="s">
        <v>883</v>
      </c>
      <c r="K4780" s="38"/>
      <c r="L4780" s="389"/>
      <c r="M4780" s="419"/>
      <c r="N4780" s="420"/>
      <c r="O4780" s="43"/>
      <c r="P4780" s="672"/>
      <c r="Q4780" s="671"/>
      <c r="R4780" s="673"/>
    </row>
    <row r="4781" spans="1:18" ht="30" customHeight="1" x14ac:dyDescent="0.25">
      <c r="A4781" s="48" t="s">
        <v>529</v>
      </c>
      <c r="B4781" s="394" t="s">
        <v>560</v>
      </c>
      <c r="C4781" s="395"/>
      <c r="D4781" s="396"/>
      <c r="E4781" s="397" t="s">
        <v>519</v>
      </c>
      <c r="F4781" s="397" t="s">
        <v>561</v>
      </c>
      <c r="G4781" s="398" t="s">
        <v>562</v>
      </c>
      <c r="H4781" s="399"/>
      <c r="I4781" s="181" t="s">
        <v>530</v>
      </c>
      <c r="J4781" s="181"/>
      <c r="K4781" s="493" t="s">
        <v>521</v>
      </c>
      <c r="L4781" s="494"/>
      <c r="M4781" s="419"/>
      <c r="N4781" s="420"/>
      <c r="O4781" s="43"/>
      <c r="P4781" s="672"/>
      <c r="Q4781" s="671"/>
      <c r="R4781" s="673"/>
    </row>
    <row r="4782" spans="1:18" s="128" customFormat="1" ht="30" customHeight="1" x14ac:dyDescent="0.25">
      <c r="A4782" s="61" t="s">
        <v>1421</v>
      </c>
      <c r="B4782" s="402" t="s">
        <v>2977</v>
      </c>
      <c r="C4782" s="403"/>
      <c r="D4782" s="404"/>
      <c r="E4782" s="756">
        <f>+(40.2+58.58)/2</f>
        <v>49.39</v>
      </c>
      <c r="F4782" s="22" t="s">
        <v>9</v>
      </c>
      <c r="G4782" s="1112">
        <v>360</v>
      </c>
      <c r="H4782" s="758" t="s">
        <v>565</v>
      </c>
      <c r="I4782" s="20">
        <v>1.05</v>
      </c>
      <c r="J4782" s="20"/>
      <c r="K4782" s="776">
        <f>+E4782*G4782*I4782</f>
        <v>18669.420000000002</v>
      </c>
      <c r="L4782" s="22" t="s">
        <v>11</v>
      </c>
      <c r="M4782" s="419"/>
      <c r="N4782" s="420"/>
      <c r="O4782"/>
      <c r="P4782" s="412"/>
      <c r="Q4782" s="391"/>
      <c r="R4782" s="393"/>
    </row>
    <row r="4783" spans="1:18" s="128" customFormat="1" ht="30" customHeight="1" x14ac:dyDescent="0.25">
      <c r="A4783" s="61"/>
      <c r="B4783" s="503" t="s">
        <v>2978</v>
      </c>
      <c r="C4783" s="504"/>
      <c r="D4783" s="505"/>
      <c r="E4783" s="405"/>
      <c r="F4783" s="338" t="s">
        <v>533</v>
      </c>
      <c r="G4783" s="339" t="s">
        <v>534</v>
      </c>
      <c r="H4783" s="339"/>
      <c r="I4783" s="339"/>
      <c r="J4783" s="339"/>
      <c r="K4783" s="340">
        <v>1.07</v>
      </c>
      <c r="L4783" s="10"/>
      <c r="M4783" s="419"/>
      <c r="N4783" s="420"/>
      <c r="O4783"/>
      <c r="P4783" s="412"/>
      <c r="Q4783" s="391"/>
      <c r="R4783" s="393"/>
    </row>
    <row r="4784" spans="1:18" s="128" customFormat="1" ht="30" customHeight="1" x14ac:dyDescent="0.25">
      <c r="A4784" s="61"/>
      <c r="B4784" s="410"/>
      <c r="C4784" s="410"/>
      <c r="D4784" s="410"/>
      <c r="E4784" s="405"/>
      <c r="F4784" s="343"/>
      <c r="G4784" s="344" t="s">
        <v>535</v>
      </c>
      <c r="H4784" s="344"/>
      <c r="I4784" s="344"/>
      <c r="J4784" s="344"/>
      <c r="K4784" s="340">
        <v>1.02</v>
      </c>
      <c r="L4784" s="10"/>
      <c r="M4784" s="419"/>
      <c r="N4784" s="420"/>
      <c r="O4784"/>
      <c r="P4784" s="412"/>
      <c r="Q4784" s="391"/>
      <c r="R4784" s="393"/>
    </row>
    <row r="4785" spans="1:19" s="128" customFormat="1" ht="30" customHeight="1" x14ac:dyDescent="0.25">
      <c r="A4785" s="63"/>
      <c r="B4785" s="503"/>
      <c r="C4785" s="504"/>
      <c r="D4785" s="505"/>
      <c r="E4785" s="405"/>
      <c r="F4785" s="22"/>
      <c r="G4785" s="730"/>
      <c r="H4785" s="649"/>
      <c r="I4785" s="20"/>
      <c r="J4785" s="20" t="s">
        <v>358</v>
      </c>
      <c r="K4785" s="780">
        <f>+K4782*K4783/K4784</f>
        <v>19584.587647058826</v>
      </c>
      <c r="L4785" s="22" t="s">
        <v>11</v>
      </c>
      <c r="M4785" s="419"/>
      <c r="N4785" s="420"/>
      <c r="O4785"/>
      <c r="P4785" s="412"/>
      <c r="Q4785" s="391"/>
      <c r="R4785" s="393"/>
    </row>
    <row r="4786" spans="1:19" s="128" customFormat="1" ht="30" customHeight="1" thickBot="1" x14ac:dyDescent="0.3">
      <c r="A4786" s="61"/>
      <c r="B4786" s="20"/>
      <c r="C4786" s="18"/>
      <c r="D4786" s="18"/>
      <c r="E4786" s="18"/>
      <c r="F4786" s="18"/>
      <c r="G4786" s="413" t="s">
        <v>537</v>
      </c>
      <c r="H4786" s="18"/>
      <c r="I4786" s="18"/>
      <c r="J4786" s="361">
        <f>VLOOKUP(B4780,'Mil Cost Premiums for RUCs'!$A$4:$R$265,18,FALSE)</f>
        <v>1.0209999999999999</v>
      </c>
      <c r="K4786" s="23">
        <f>+K4785*J4786</f>
        <v>19995.863987647059</v>
      </c>
      <c r="L4786" s="20" t="s">
        <v>11</v>
      </c>
      <c r="M4786" s="419"/>
      <c r="N4786" s="420"/>
      <c r="O4786"/>
      <c r="P4786" s="412"/>
      <c r="Q4786" s="391"/>
      <c r="R4786" s="393"/>
    </row>
    <row r="4787" spans="1:19" s="128" customFormat="1" ht="30" customHeight="1" thickBot="1" x14ac:dyDescent="0.3">
      <c r="A4787" s="76"/>
      <c r="B4787" s="77"/>
      <c r="C4787" s="77"/>
      <c r="D4787" s="77"/>
      <c r="E4787" s="77"/>
      <c r="F4787" s="77"/>
      <c r="G4787" s="77"/>
      <c r="H4787" s="77"/>
      <c r="I4787" s="77"/>
      <c r="J4787" s="77"/>
      <c r="K4787" s="77"/>
      <c r="L4787" s="78"/>
      <c r="M4787" s="670"/>
      <c r="N4787" s="420"/>
      <c r="O4787"/>
      <c r="P4787" s="412"/>
      <c r="Q4787" s="391"/>
      <c r="R4787" s="393"/>
    </row>
    <row r="4788" spans="1:19" s="128" customFormat="1" ht="30" customHeight="1" x14ac:dyDescent="0.25">
      <c r="A4788" s="30" t="s">
        <v>288</v>
      </c>
      <c r="B4788" s="208">
        <v>8930</v>
      </c>
      <c r="C4788" s="209" t="s">
        <v>2979</v>
      </c>
      <c r="D4788" s="210"/>
      <c r="E4788" s="177" t="s">
        <v>291</v>
      </c>
      <c r="F4788" s="178" t="s">
        <v>7</v>
      </c>
      <c r="G4788" s="123" t="s">
        <v>375</v>
      </c>
      <c r="H4788" s="179">
        <v>7310</v>
      </c>
      <c r="I4788" s="177" t="s">
        <v>292</v>
      </c>
      <c r="J4788" s="38" t="s">
        <v>883</v>
      </c>
      <c r="K4788" s="38"/>
      <c r="L4788" s="389"/>
      <c r="M4788" s="419"/>
      <c r="N4788" s="420"/>
      <c r="O4788"/>
      <c r="P4788" s="412"/>
      <c r="Q4788" s="391"/>
      <c r="R4788" s="393"/>
    </row>
    <row r="4789" spans="1:19" ht="30" customHeight="1" x14ac:dyDescent="0.25">
      <c r="A4789" s="48" t="s">
        <v>529</v>
      </c>
      <c r="B4789" s="394" t="s">
        <v>560</v>
      </c>
      <c r="C4789" s="395"/>
      <c r="D4789" s="396"/>
      <c r="E4789" s="397" t="s">
        <v>519</v>
      </c>
      <c r="F4789" s="397" t="s">
        <v>561</v>
      </c>
      <c r="G4789" s="398" t="s">
        <v>562</v>
      </c>
      <c r="H4789" s="399"/>
      <c r="I4789" s="181" t="s">
        <v>530</v>
      </c>
      <c r="J4789" s="181"/>
      <c r="K4789" s="493" t="s">
        <v>521</v>
      </c>
      <c r="L4789" s="494"/>
      <c r="M4789" s="425"/>
      <c r="N4789" s="420"/>
      <c r="O4789" s="128"/>
      <c r="P4789" s="713"/>
      <c r="Q4789" s="712"/>
      <c r="R4789" s="714"/>
    </row>
    <row r="4790" spans="1:19" ht="30" customHeight="1" x14ac:dyDescent="0.25">
      <c r="A4790" s="61" t="s">
        <v>574</v>
      </c>
      <c r="B4790" s="503" t="s">
        <v>2980</v>
      </c>
      <c r="C4790" s="504"/>
      <c r="D4790" s="505"/>
      <c r="E4790" s="756">
        <v>18.39</v>
      </c>
      <c r="F4790" s="22" t="s">
        <v>7</v>
      </c>
      <c r="G4790" s="1112"/>
      <c r="H4790" s="758"/>
      <c r="I4790" s="20">
        <v>1.04</v>
      </c>
      <c r="J4790" s="20"/>
      <c r="K4790" s="776">
        <f>+E4790*I4790</f>
        <v>19.125600000000002</v>
      </c>
      <c r="L4790" s="22" t="s">
        <v>7</v>
      </c>
      <c r="M4790" s="419"/>
      <c r="N4790" s="420"/>
      <c r="O4790"/>
      <c r="P4790" s="412"/>
      <c r="Q4790" s="391"/>
      <c r="R4790" s="393"/>
    </row>
    <row r="4791" spans="1:19" ht="30" customHeight="1" x14ac:dyDescent="0.25">
      <c r="A4791" s="61" t="s">
        <v>574</v>
      </c>
      <c r="B4791" s="503" t="s">
        <v>2981</v>
      </c>
      <c r="C4791" s="504"/>
      <c r="D4791" s="505"/>
      <c r="E4791" s="760">
        <v>18.170000000000002</v>
      </c>
      <c r="F4791" s="22" t="s">
        <v>7</v>
      </c>
      <c r="G4791" s="1112"/>
      <c r="H4791" s="758"/>
      <c r="I4791" s="20">
        <v>1.04</v>
      </c>
      <c r="J4791" s="20"/>
      <c r="K4791" s="776">
        <f>+E4791*I4791</f>
        <v>18.896800000000002</v>
      </c>
      <c r="L4791" s="22" t="s">
        <v>7</v>
      </c>
      <c r="M4791" s="419"/>
      <c r="N4791" s="420"/>
      <c r="O4791"/>
      <c r="P4791" s="412"/>
      <c r="Q4791" s="391"/>
      <c r="R4791" s="393"/>
    </row>
    <row r="4792" spans="1:19" s="49" customFormat="1" ht="30" customHeight="1" x14ac:dyDescent="0.25">
      <c r="A4792" s="63"/>
      <c r="B4792" s="186"/>
      <c r="C4792" s="186"/>
      <c r="D4792" s="186"/>
      <c r="E4792" s="405"/>
      <c r="F4792" s="20"/>
      <c r="G4792" s="20"/>
      <c r="H4792" s="20"/>
      <c r="I4792" s="20"/>
      <c r="J4792" s="20" t="s">
        <v>536</v>
      </c>
      <c r="K4792" s="780">
        <f>AVERAGE(K4790:K4791)</f>
        <v>19.011200000000002</v>
      </c>
      <c r="L4792" s="20" t="s">
        <v>7</v>
      </c>
      <c r="M4792" s="419"/>
      <c r="N4792" s="420"/>
      <c r="P4792" s="412"/>
      <c r="Q4792" s="391"/>
      <c r="R4792" s="393"/>
    </row>
    <row r="4793" spans="1:19" s="128" customFormat="1" ht="30" customHeight="1" x14ac:dyDescent="0.25">
      <c r="A4793" s="61"/>
      <c r="B4793" s="503"/>
      <c r="C4793" s="504"/>
      <c r="D4793" s="505"/>
      <c r="E4793" s="405"/>
      <c r="F4793" s="338" t="s">
        <v>533</v>
      </c>
      <c r="G4793" s="339" t="s">
        <v>534</v>
      </c>
      <c r="H4793" s="339"/>
      <c r="I4793" s="339"/>
      <c r="J4793" s="339"/>
      <c r="K4793" s="340">
        <v>1.07</v>
      </c>
      <c r="L4793" s="10"/>
      <c r="M4793" s="670"/>
      <c r="N4793" s="420"/>
      <c r="O4793"/>
      <c r="P4793" s="412"/>
      <c r="Q4793" s="391"/>
      <c r="R4793" s="393"/>
      <c r="S4793"/>
    </row>
    <row r="4794" spans="1:19" ht="30" customHeight="1" x14ac:dyDescent="0.25">
      <c r="A4794" s="61"/>
      <c r="B4794" s="410"/>
      <c r="C4794" s="410"/>
      <c r="D4794" s="410"/>
      <c r="E4794" s="405"/>
      <c r="F4794" s="343"/>
      <c r="G4794" s="344" t="s">
        <v>535</v>
      </c>
      <c r="H4794" s="344"/>
      <c r="I4794" s="344"/>
      <c r="J4794" s="344"/>
      <c r="K4794" s="340">
        <v>1.02</v>
      </c>
      <c r="L4794" s="10"/>
      <c r="M4794" s="670"/>
      <c r="N4794" s="420"/>
      <c r="O4794" s="43"/>
      <c r="P4794" s="672"/>
      <c r="Q4794" s="671"/>
      <c r="R4794" s="673"/>
    </row>
    <row r="4795" spans="1:19" ht="30" customHeight="1" x14ac:dyDescent="0.25">
      <c r="A4795" s="63"/>
      <c r="B4795" s="20"/>
      <c r="C4795" s="18"/>
      <c r="D4795" s="18"/>
      <c r="E4795" s="18"/>
      <c r="F4795" s="18"/>
      <c r="G4795" s="18"/>
      <c r="H4795" s="18"/>
      <c r="I4795" s="18"/>
      <c r="J4795" s="20" t="s">
        <v>358</v>
      </c>
      <c r="K4795" s="23">
        <f>+K4792*K4793/K4794</f>
        <v>19.943121568627454</v>
      </c>
      <c r="L4795" s="20" t="s">
        <v>7</v>
      </c>
      <c r="M4795" s="419"/>
      <c r="N4795" s="671"/>
      <c r="O4795" s="43"/>
      <c r="P4795" s="672"/>
      <c r="Q4795" s="671"/>
      <c r="R4795" s="673"/>
    </row>
    <row r="4796" spans="1:19" s="128" customFormat="1" ht="30" customHeight="1" thickBot="1" x14ac:dyDescent="0.3">
      <c r="A4796" s="61"/>
      <c r="B4796" s="20"/>
      <c r="C4796" s="18"/>
      <c r="D4796" s="18"/>
      <c r="E4796" s="18"/>
      <c r="F4796" s="18"/>
      <c r="G4796" s="413" t="s">
        <v>537</v>
      </c>
      <c r="H4796" s="18"/>
      <c r="I4796" s="18"/>
      <c r="J4796" s="361">
        <f>VLOOKUP(B4788,'Mil Cost Premiums for RUCs'!$A$4:$R$265,18,FALSE)</f>
        <v>1.0905505199999999</v>
      </c>
      <c r="K4796" s="23">
        <f>+K4795*J4796</f>
        <v>21.748981597089884</v>
      </c>
      <c r="L4796" s="20" t="s">
        <v>7</v>
      </c>
      <c r="M4796" s="419"/>
      <c r="N4796" s="671"/>
      <c r="O4796"/>
      <c r="P4796" s="412"/>
      <c r="Q4796" s="391"/>
      <c r="R4796" s="393"/>
    </row>
    <row r="4797" spans="1:19" s="128" customFormat="1" ht="30" customHeight="1" thickBot="1" x14ac:dyDescent="0.3">
      <c r="A4797" s="76"/>
      <c r="B4797" s="77"/>
      <c r="C4797" s="77"/>
      <c r="D4797" s="77"/>
      <c r="E4797" s="77"/>
      <c r="F4797" s="77"/>
      <c r="G4797" s="77"/>
      <c r="H4797" s="77"/>
      <c r="I4797" s="77"/>
      <c r="J4797" s="77"/>
      <c r="K4797" s="77"/>
      <c r="L4797" s="78"/>
      <c r="M4797" s="419"/>
      <c r="N4797" s="420"/>
      <c r="P4797" s="713"/>
      <c r="Q4797" s="712"/>
      <c r="R4797" s="714"/>
      <c r="S4797"/>
    </row>
    <row r="4798" spans="1:19" s="128" customFormat="1" ht="30" customHeight="1" x14ac:dyDescent="0.25">
      <c r="A4798" s="30" t="s">
        <v>288</v>
      </c>
      <c r="B4798" s="208">
        <v>8931</v>
      </c>
      <c r="C4798" s="209" t="s">
        <v>2982</v>
      </c>
      <c r="D4798" s="210"/>
      <c r="E4798" s="177" t="s">
        <v>291</v>
      </c>
      <c r="F4798" s="178" t="s">
        <v>7</v>
      </c>
      <c r="G4798" s="123" t="s">
        <v>375</v>
      </c>
      <c r="H4798" s="179">
        <v>5925</v>
      </c>
      <c r="I4798" s="177" t="s">
        <v>292</v>
      </c>
      <c r="J4798" s="38" t="s">
        <v>883</v>
      </c>
      <c r="K4798" s="38"/>
      <c r="L4798" s="389"/>
      <c r="M4798" s="419"/>
      <c r="N4798" s="420"/>
      <c r="O4798"/>
      <c r="P4798" s="412"/>
      <c r="Q4798" s="391"/>
      <c r="R4798" s="393"/>
      <c r="S4798"/>
    </row>
    <row r="4799" spans="1:19" s="128" customFormat="1" ht="30" customHeight="1" x14ac:dyDescent="0.25">
      <c r="A4799" s="48" t="s">
        <v>529</v>
      </c>
      <c r="B4799" s="394" t="s">
        <v>560</v>
      </c>
      <c r="C4799" s="395"/>
      <c r="D4799" s="396"/>
      <c r="E4799" s="397" t="s">
        <v>519</v>
      </c>
      <c r="F4799" s="397" t="s">
        <v>561</v>
      </c>
      <c r="G4799" s="398" t="s">
        <v>562</v>
      </c>
      <c r="H4799" s="399"/>
      <c r="I4799" s="181" t="s">
        <v>530</v>
      </c>
      <c r="J4799" s="44"/>
      <c r="K4799" s="493" t="s">
        <v>521</v>
      </c>
      <c r="L4799" s="494"/>
      <c r="M4799" s="425"/>
      <c r="N4799" s="420"/>
      <c r="O4799"/>
      <c r="P4799" s="412"/>
      <c r="Q4799" s="391"/>
      <c r="R4799" s="393"/>
      <c r="S4799"/>
    </row>
    <row r="4800" spans="1:19" s="49" customFormat="1" ht="30" customHeight="1" x14ac:dyDescent="0.25">
      <c r="A4800" s="61" t="s">
        <v>782</v>
      </c>
      <c r="B4800" s="402" t="s">
        <v>2983</v>
      </c>
      <c r="C4800" s="403"/>
      <c r="D4800" s="404"/>
      <c r="E4800" s="756">
        <v>27</v>
      </c>
      <c r="F4800" s="22" t="s">
        <v>212</v>
      </c>
      <c r="G4800" s="1112">
        <v>35</v>
      </c>
      <c r="H4800" s="758" t="s">
        <v>2984</v>
      </c>
      <c r="I4800" s="20">
        <v>1.04</v>
      </c>
      <c r="J4800" s="20"/>
      <c r="K4800" s="776">
        <f>+E4800*G4800*I4800</f>
        <v>982.80000000000007</v>
      </c>
      <c r="L4800" s="22" t="s">
        <v>7</v>
      </c>
      <c r="M4800" s="419"/>
      <c r="N4800" s="1603"/>
      <c r="P4800" s="412"/>
      <c r="Q4800" s="391"/>
      <c r="R4800" s="393"/>
    </row>
    <row r="4801" spans="1:19" ht="30" customHeight="1" x14ac:dyDescent="0.25">
      <c r="A4801" s="61" t="s">
        <v>782</v>
      </c>
      <c r="B4801" s="402" t="s">
        <v>2985</v>
      </c>
      <c r="C4801" s="403"/>
      <c r="D4801" s="404"/>
      <c r="E4801" s="760">
        <v>22.6</v>
      </c>
      <c r="F4801" s="22" t="s">
        <v>212</v>
      </c>
      <c r="G4801" s="1112">
        <v>2</v>
      </c>
      <c r="H4801" s="758" t="s">
        <v>2984</v>
      </c>
      <c r="I4801" s="20">
        <v>1.04</v>
      </c>
      <c r="J4801" s="20"/>
      <c r="K4801" s="776">
        <f>+E4801*G4801*I4801</f>
        <v>47.008000000000003</v>
      </c>
      <c r="L4801" s="22" t="s">
        <v>7</v>
      </c>
      <c r="M4801" s="670"/>
      <c r="N4801" s="420"/>
      <c r="O4801"/>
      <c r="P4801" s="412"/>
      <c r="Q4801" s="391"/>
      <c r="R4801" s="393"/>
    </row>
    <row r="4802" spans="1:19" ht="30" customHeight="1" x14ac:dyDescent="0.25">
      <c r="A4802" s="63"/>
      <c r="B4802" s="186" t="s">
        <v>2986</v>
      </c>
      <c r="C4802" s="186"/>
      <c r="D4802" s="186"/>
      <c r="E4802" s="405"/>
      <c r="F4802" s="20"/>
      <c r="G4802" s="20"/>
      <c r="H4802" s="20"/>
      <c r="I4802" s="20"/>
      <c r="J4802" s="61" t="s">
        <v>2987</v>
      </c>
      <c r="K4802" s="780">
        <f>+((K4800*0.12)+(K4801*0.88))/2</f>
        <v>79.651520000000005</v>
      </c>
      <c r="L4802" s="20" t="s">
        <v>7</v>
      </c>
      <c r="M4802" s="670"/>
      <c r="N4802" s="420"/>
      <c r="O4802"/>
      <c r="P4802" s="412"/>
      <c r="Q4802" s="391"/>
      <c r="R4802" s="393"/>
      <c r="S4802" s="128"/>
    </row>
    <row r="4803" spans="1:19" ht="30" customHeight="1" x14ac:dyDescent="0.25">
      <c r="A4803" s="61"/>
      <c r="B4803" s="716"/>
      <c r="C4803" s="717"/>
      <c r="D4803" s="718"/>
      <c r="E4803" s="530"/>
      <c r="F4803" s="676" t="s">
        <v>533</v>
      </c>
      <c r="G4803" s="339" t="s">
        <v>534</v>
      </c>
      <c r="H4803" s="339"/>
      <c r="I4803" s="339"/>
      <c r="J4803" s="339"/>
      <c r="K4803" s="340">
        <v>1.07</v>
      </c>
      <c r="L4803" s="24"/>
      <c r="M4803" s="419"/>
      <c r="N4803" s="671"/>
      <c r="O4803"/>
      <c r="P4803" s="412"/>
      <c r="Q4803" s="391"/>
      <c r="R4803" s="393"/>
      <c r="S4803" s="128"/>
    </row>
    <row r="4804" spans="1:19" ht="30" customHeight="1" x14ac:dyDescent="0.25">
      <c r="A4804" s="61"/>
      <c r="B4804" s="498"/>
      <c r="C4804" s="498"/>
      <c r="D4804" s="498"/>
      <c r="E4804" s="530"/>
      <c r="F4804" s="678"/>
      <c r="G4804" s="344" t="s">
        <v>535</v>
      </c>
      <c r="H4804" s="344"/>
      <c r="I4804" s="344"/>
      <c r="J4804" s="344"/>
      <c r="K4804" s="340">
        <v>1.02</v>
      </c>
      <c r="L4804" s="24"/>
      <c r="M4804" s="419"/>
      <c r="N4804" s="671"/>
      <c r="O4804" s="128"/>
      <c r="P4804" s="713"/>
      <c r="Q4804" s="712"/>
      <c r="R4804" s="714"/>
      <c r="S4804" s="128"/>
    </row>
    <row r="4805" spans="1:19" s="128" customFormat="1" ht="30" customHeight="1" x14ac:dyDescent="0.25">
      <c r="A4805" s="63"/>
      <c r="B4805" s="61"/>
      <c r="C4805" s="63"/>
      <c r="D4805" s="63"/>
      <c r="E4805" s="63"/>
      <c r="F4805" s="63"/>
      <c r="G4805" s="18"/>
      <c r="H4805" s="18"/>
      <c r="I4805" s="18"/>
      <c r="J4805" s="18" t="s">
        <v>358</v>
      </c>
      <c r="K4805" s="23">
        <f>+K4802*K4803/K4804</f>
        <v>83.556006274509826</v>
      </c>
      <c r="L4805" s="61" t="s">
        <v>7</v>
      </c>
      <c r="M4805" s="419"/>
      <c r="N4805" s="420"/>
      <c r="P4805" s="713"/>
      <c r="Q4805" s="712"/>
      <c r="R4805" s="714"/>
    </row>
    <row r="4806" spans="1:19" s="128" customFormat="1" ht="30" customHeight="1" thickBot="1" x14ac:dyDescent="0.3">
      <c r="A4806" s="61"/>
      <c r="B4806" s="61"/>
      <c r="C4806" s="63"/>
      <c r="D4806" s="63"/>
      <c r="E4806" s="63"/>
      <c r="F4806" s="63"/>
      <c r="G4806" s="413" t="s">
        <v>537</v>
      </c>
      <c r="H4806" s="18"/>
      <c r="I4806" s="18"/>
      <c r="J4806" s="361">
        <f>VLOOKUP(B4798,'Mil Cost Premiums for RUCs'!$A$4:$R$265,18,FALSE)</f>
        <v>1.0905505199999999</v>
      </c>
      <c r="K4806" s="23">
        <f>+K4805*J4806</f>
        <v>91.12204609178994</v>
      </c>
      <c r="L4806" s="61" t="s">
        <v>7</v>
      </c>
      <c r="M4806" s="419"/>
      <c r="N4806" s="420"/>
      <c r="O4806"/>
      <c r="P4806" s="412"/>
      <c r="Q4806" s="391"/>
      <c r="R4806" s="393"/>
    </row>
    <row r="4807" spans="1:19" s="128" customFormat="1" ht="30" customHeight="1" thickBot="1" x14ac:dyDescent="0.3">
      <c r="A4807" s="76"/>
      <c r="B4807" s="77"/>
      <c r="C4807" s="77"/>
      <c r="D4807" s="77"/>
      <c r="E4807" s="77"/>
      <c r="F4807" s="77"/>
      <c r="G4807" s="77"/>
      <c r="H4807" s="77"/>
      <c r="I4807" s="77"/>
      <c r="J4807" s="77"/>
      <c r="K4807" s="77"/>
      <c r="L4807" s="78"/>
      <c r="M4807" s="425"/>
      <c r="N4807" s="420"/>
      <c r="O4807"/>
      <c r="P4807" s="412"/>
      <c r="Q4807" s="391"/>
      <c r="R4807" s="393"/>
    </row>
    <row r="4808" spans="1:19" ht="30" customHeight="1" x14ac:dyDescent="0.25">
      <c r="A4808" s="306" t="s">
        <v>288</v>
      </c>
      <c r="B4808" s="418">
        <v>8932</v>
      </c>
      <c r="C4808" s="1377" t="s">
        <v>2988</v>
      </c>
      <c r="D4808" s="1378"/>
      <c r="E4808" s="540" t="s">
        <v>291</v>
      </c>
      <c r="F4808" s="541" t="s">
        <v>7</v>
      </c>
      <c r="G4808" s="123" t="s">
        <v>375</v>
      </c>
      <c r="H4808" s="600">
        <v>12554</v>
      </c>
      <c r="I4808" s="540" t="s">
        <v>292</v>
      </c>
      <c r="J4808" s="38" t="s">
        <v>883</v>
      </c>
      <c r="K4808" s="38"/>
      <c r="L4808" s="389"/>
      <c r="M4808" s="419"/>
      <c r="N4808" s="1603"/>
      <c r="O4808" s="43"/>
      <c r="P4808" s="672"/>
      <c r="Q4808" s="671"/>
      <c r="R4808" s="673"/>
    </row>
    <row r="4809" spans="1:19" ht="30" customHeight="1" x14ac:dyDescent="0.25">
      <c r="A4809" s="695" t="s">
        <v>529</v>
      </c>
      <c r="B4809" s="543" t="s">
        <v>560</v>
      </c>
      <c r="C4809" s="544"/>
      <c r="D4809" s="545"/>
      <c r="E4809" s="546" t="s">
        <v>519</v>
      </c>
      <c r="F4809" s="546" t="s">
        <v>561</v>
      </c>
      <c r="G4809" s="547" t="s">
        <v>562</v>
      </c>
      <c r="H4809" s="548"/>
      <c r="I4809" s="424" t="s">
        <v>530</v>
      </c>
      <c r="J4809" s="424"/>
      <c r="K4809" s="493" t="s">
        <v>521</v>
      </c>
      <c r="L4809" s="494"/>
      <c r="M4809" s="419"/>
      <c r="N4809" s="420"/>
      <c r="O4809" s="43"/>
      <c r="P4809" s="672"/>
      <c r="Q4809" s="671"/>
      <c r="R4809" s="673"/>
    </row>
    <row r="4810" spans="1:19" ht="30" customHeight="1" x14ac:dyDescent="0.25">
      <c r="A4810" s="24" t="s">
        <v>782</v>
      </c>
      <c r="B4810" s="346" t="s">
        <v>2989</v>
      </c>
      <c r="C4810" s="347"/>
      <c r="D4810" s="348"/>
      <c r="E4810" s="700">
        <v>22.6</v>
      </c>
      <c r="F4810" s="5" t="s">
        <v>212</v>
      </c>
      <c r="G4810" s="697">
        <v>4</v>
      </c>
      <c r="H4810" s="698" t="s">
        <v>2984</v>
      </c>
      <c r="I4810" s="10">
        <v>1.04</v>
      </c>
      <c r="J4810" s="10"/>
      <c r="K4810" s="700">
        <f>+E4810*G4810*I4810</f>
        <v>94.016000000000005</v>
      </c>
      <c r="L4810" s="5" t="s">
        <v>7</v>
      </c>
      <c r="M4810" s="419"/>
      <c r="N4810" s="420"/>
      <c r="O4810"/>
      <c r="P4810" s="412"/>
      <c r="Q4810" s="391"/>
      <c r="R4810" s="393"/>
      <c r="S4810" s="128"/>
    </row>
    <row r="4811" spans="1:19" ht="30" customHeight="1" x14ac:dyDescent="0.25">
      <c r="A4811" s="24" t="s">
        <v>782</v>
      </c>
      <c r="B4811" s="346" t="s">
        <v>2990</v>
      </c>
      <c r="C4811" s="347"/>
      <c r="D4811" s="348"/>
      <c r="E4811" s="1665">
        <v>27</v>
      </c>
      <c r="F4811" s="1041" t="s">
        <v>212</v>
      </c>
      <c r="G4811" s="1666">
        <v>8</v>
      </c>
      <c r="H4811" s="1041" t="s">
        <v>2984</v>
      </c>
      <c r="I4811" s="10">
        <v>1.04</v>
      </c>
      <c r="J4811" s="10"/>
      <c r="K4811" s="326">
        <f>+E4811*G4811*I4811</f>
        <v>224.64000000000001</v>
      </c>
      <c r="L4811" s="10" t="s">
        <v>7</v>
      </c>
      <c r="M4811" s="419"/>
      <c r="N4811" s="420"/>
      <c r="O4811"/>
      <c r="P4811" s="412"/>
      <c r="Q4811" s="391"/>
      <c r="R4811" s="393"/>
    </row>
    <row r="4812" spans="1:19" ht="30" customHeight="1" x14ac:dyDescent="0.25">
      <c r="A4812" s="24" t="s">
        <v>782</v>
      </c>
      <c r="B4812" s="346" t="s">
        <v>2991</v>
      </c>
      <c r="C4812" s="347"/>
      <c r="D4812" s="348"/>
      <c r="E4812" s="1665">
        <v>31.25</v>
      </c>
      <c r="F4812" s="1041" t="s">
        <v>212</v>
      </c>
      <c r="G4812" s="1666">
        <v>16</v>
      </c>
      <c r="H4812" s="1041" t="s">
        <v>2984</v>
      </c>
      <c r="I4812" s="10">
        <v>1.04</v>
      </c>
      <c r="J4812" s="10"/>
      <c r="K4812" s="326">
        <f>+E4812*G4812*I4812</f>
        <v>520</v>
      </c>
      <c r="L4812" s="10" t="s">
        <v>7</v>
      </c>
      <c r="M4812" s="419"/>
      <c r="N4812" s="420"/>
      <c r="O4812"/>
      <c r="P4812" s="412"/>
      <c r="Q4812" s="391"/>
      <c r="R4812" s="393"/>
    </row>
    <row r="4813" spans="1:19" ht="30" customHeight="1" x14ac:dyDescent="0.25">
      <c r="A4813" s="24"/>
      <c r="B4813" s="13"/>
      <c r="C4813" s="13"/>
      <c r="D4813" s="13"/>
      <c r="E4813" s="13"/>
      <c r="F4813" s="13"/>
      <c r="G4813" s="13"/>
      <c r="H4813" s="13"/>
      <c r="I4813" s="352"/>
      <c r="J4813" s="355" t="s">
        <v>536</v>
      </c>
      <c r="K4813" s="326">
        <f>AVERAGE(K4810:K4812)</f>
        <v>279.55199999999996</v>
      </c>
      <c r="L4813" s="10" t="s">
        <v>7</v>
      </c>
      <c r="M4813" s="419"/>
      <c r="N4813" s="420"/>
      <c r="O4813"/>
      <c r="P4813" s="412"/>
      <c r="Q4813" s="391"/>
      <c r="R4813" s="393"/>
    </row>
    <row r="4814" spans="1:19" s="49" customFormat="1" ht="30" customHeight="1" x14ac:dyDescent="0.25">
      <c r="A4814" s="61"/>
      <c r="B4814" s="503"/>
      <c r="C4814" s="504"/>
      <c r="D4814" s="505"/>
      <c r="E4814" s="405"/>
      <c r="F4814" s="338" t="s">
        <v>533</v>
      </c>
      <c r="G4814" s="339" t="s">
        <v>534</v>
      </c>
      <c r="H4814" s="339"/>
      <c r="I4814" s="339"/>
      <c r="J4814" s="339"/>
      <c r="K4814" s="340">
        <v>1.07</v>
      </c>
      <c r="L4814" s="10"/>
      <c r="M4814" s="419"/>
      <c r="N4814" s="420"/>
      <c r="O4814" s="1533"/>
      <c r="P4814" s="713"/>
      <c r="Q4814" s="712"/>
      <c r="R4814" s="714"/>
    </row>
    <row r="4815" spans="1:19" s="128" customFormat="1" ht="30" customHeight="1" x14ac:dyDescent="0.25">
      <c r="A4815" s="61"/>
      <c r="B4815" s="410"/>
      <c r="C4815" s="410"/>
      <c r="D4815" s="410"/>
      <c r="E4815" s="405"/>
      <c r="F4815" s="343"/>
      <c r="G4815" s="344" t="s">
        <v>535</v>
      </c>
      <c r="H4815" s="344"/>
      <c r="I4815" s="344"/>
      <c r="J4815" s="344"/>
      <c r="K4815" s="340">
        <v>1.02</v>
      </c>
      <c r="L4815" s="10"/>
      <c r="M4815" s="670"/>
      <c r="N4815" s="1603"/>
      <c r="P4815" s="713"/>
      <c r="Q4815" s="712"/>
      <c r="R4815" s="714"/>
      <c r="S4815"/>
    </row>
    <row r="4816" spans="1:19" s="128" customFormat="1" ht="30" customHeight="1" x14ac:dyDescent="0.25">
      <c r="A4816" s="24"/>
      <c r="B4816" s="10"/>
      <c r="C4816" s="13"/>
      <c r="D4816" s="13"/>
      <c r="E4816" s="13"/>
      <c r="F4816" s="13"/>
      <c r="G4816" s="13"/>
      <c r="H4816" s="13"/>
      <c r="I4816" s="13"/>
      <c r="J4816" s="10" t="s">
        <v>358</v>
      </c>
      <c r="K4816" s="14">
        <f>+K4813*K4814/K4815</f>
        <v>293.25552941176466</v>
      </c>
      <c r="L4816" s="10" t="s">
        <v>7</v>
      </c>
      <c r="M4816" s="670"/>
      <c r="N4816" s="1603"/>
      <c r="P4816" s="713"/>
      <c r="Q4816" s="712"/>
      <c r="R4816" s="714"/>
    </row>
    <row r="4817" spans="1:19" s="128" customFormat="1" ht="30" customHeight="1" x14ac:dyDescent="0.25">
      <c r="A4817" s="24"/>
      <c r="B4817" s="10"/>
      <c r="C4817" s="13"/>
      <c r="D4817" s="13"/>
      <c r="E4817" s="13"/>
      <c r="F4817" s="13"/>
      <c r="G4817" s="573" t="s">
        <v>652</v>
      </c>
      <c r="H4817" s="13"/>
      <c r="I4817" s="13"/>
      <c r="J4817" s="361">
        <f>VLOOKUP(B4808,'Mil Cost Premiums for RUCs'!$A$4:$R$265,18,FALSE)</f>
        <v>1.0905505199999999</v>
      </c>
      <c r="K4817" s="14">
        <f>+K4816*J4817</f>
        <v>319.80997009287518</v>
      </c>
      <c r="L4817" s="10" t="s">
        <v>7</v>
      </c>
      <c r="M4817" s="419"/>
      <c r="N4817" s="671"/>
      <c r="P4817" s="713"/>
      <c r="Q4817" s="712"/>
      <c r="R4817" s="714"/>
    </row>
    <row r="4818" spans="1:19" ht="75" customHeight="1" x14ac:dyDescent="0.25">
      <c r="A4818" s="580" t="s">
        <v>2992</v>
      </c>
      <c r="B4818" s="532"/>
      <c r="C4818" s="532"/>
      <c r="D4818" s="532"/>
      <c r="E4818" s="532"/>
      <c r="F4818" s="532"/>
      <c r="G4818" s="532"/>
      <c r="H4818" s="532"/>
      <c r="I4818" s="532"/>
      <c r="J4818" s="532"/>
      <c r="K4818" s="532"/>
      <c r="L4818" s="533"/>
      <c r="M4818" s="419"/>
      <c r="N4818" s="671"/>
      <c r="O4818" s="43"/>
      <c r="P4818" s="672"/>
      <c r="Q4818" s="671"/>
      <c r="R4818" s="673"/>
    </row>
    <row r="4819" spans="1:19" ht="30" customHeight="1" x14ac:dyDescent="0.25">
      <c r="A4819" s="476" t="s">
        <v>539</v>
      </c>
      <c r="B4819" s="477"/>
      <c r="C4819" s="478"/>
      <c r="D4819" s="386" t="s">
        <v>2993</v>
      </c>
      <c r="E4819" s="849"/>
      <c r="F4819" s="849"/>
      <c r="G4819" s="849"/>
      <c r="H4819" s="849"/>
      <c r="I4819" s="849"/>
      <c r="J4819" s="849"/>
      <c r="K4819" s="849"/>
      <c r="L4819" s="850"/>
      <c r="M4819" s="419"/>
      <c r="N4819" s="420"/>
      <c r="O4819" s="43"/>
      <c r="P4819" s="672"/>
      <c r="Q4819" s="671"/>
      <c r="R4819" s="673"/>
    </row>
    <row r="4820" spans="1:19" ht="30" customHeight="1" x14ac:dyDescent="0.25">
      <c r="A4820" s="476" t="s">
        <v>541</v>
      </c>
      <c r="B4820" s="477"/>
      <c r="C4820" s="478"/>
      <c r="D4820" s="386" t="s">
        <v>2994</v>
      </c>
      <c r="E4820" s="849"/>
      <c r="F4820" s="849"/>
      <c r="G4820" s="849"/>
      <c r="H4820" s="849"/>
      <c r="I4820" s="849"/>
      <c r="J4820" s="849"/>
      <c r="K4820" s="849"/>
      <c r="L4820" s="850"/>
      <c r="M4820" s="419"/>
      <c r="N4820" s="420"/>
      <c r="O4820" s="128"/>
      <c r="P4820" s="713"/>
      <c r="Q4820" s="712"/>
      <c r="R4820" s="714"/>
      <c r="S4820" s="128"/>
    </row>
    <row r="4821" spans="1:19" ht="30" customHeight="1" x14ac:dyDescent="0.25">
      <c r="A4821" s="476" t="s">
        <v>543</v>
      </c>
      <c r="B4821" s="477"/>
      <c r="C4821" s="478"/>
      <c r="D4821" s="386" t="s">
        <v>2995</v>
      </c>
      <c r="E4821" s="849"/>
      <c r="F4821" s="849"/>
      <c r="G4821" s="849"/>
      <c r="H4821" s="849"/>
      <c r="I4821" s="849"/>
      <c r="J4821" s="849"/>
      <c r="K4821" s="849"/>
      <c r="L4821" s="850"/>
      <c r="M4821" s="425"/>
      <c r="N4821" s="420"/>
      <c r="O4821" s="128"/>
      <c r="P4821" s="713"/>
      <c r="Q4821" s="712"/>
      <c r="R4821" s="714"/>
    </row>
    <row r="4822" spans="1:19" ht="30" customHeight="1" x14ac:dyDescent="0.25">
      <c r="A4822" s="476" t="s">
        <v>546</v>
      </c>
      <c r="B4822" s="477"/>
      <c r="C4822" s="478"/>
      <c r="D4822" s="386" t="s">
        <v>2996</v>
      </c>
      <c r="E4822" s="849"/>
      <c r="F4822" s="849"/>
      <c r="G4822" s="849"/>
      <c r="H4822" s="849"/>
      <c r="I4822" s="849"/>
      <c r="J4822" s="849"/>
      <c r="K4822" s="849"/>
      <c r="L4822" s="850"/>
      <c r="M4822" s="419"/>
      <c r="N4822" s="420"/>
      <c r="O4822" s="128"/>
      <c r="P4822" s="713"/>
      <c r="Q4822" s="712"/>
      <c r="R4822" s="714"/>
    </row>
    <row r="4823" spans="1:19" ht="30" customHeight="1" x14ac:dyDescent="0.25">
      <c r="A4823" s="476" t="s">
        <v>548</v>
      </c>
      <c r="B4823" s="477"/>
      <c r="C4823" s="478"/>
      <c r="D4823" s="386" t="s">
        <v>2997</v>
      </c>
      <c r="E4823" s="849"/>
      <c r="F4823" s="849"/>
      <c r="G4823" s="849"/>
      <c r="H4823" s="849"/>
      <c r="I4823" s="849"/>
      <c r="J4823" s="849"/>
      <c r="K4823" s="849"/>
      <c r="L4823" s="850"/>
      <c r="M4823" s="419"/>
      <c r="N4823" s="420"/>
      <c r="O4823"/>
      <c r="P4823" s="412"/>
      <c r="Q4823" s="391"/>
      <c r="R4823" s="393"/>
    </row>
    <row r="4824" spans="1:19" s="49" customFormat="1" ht="30" customHeight="1" x14ac:dyDescent="0.25">
      <c r="A4824" s="476" t="s">
        <v>550</v>
      </c>
      <c r="B4824" s="477"/>
      <c r="C4824" s="478"/>
      <c r="D4824" s="386" t="s">
        <v>2441</v>
      </c>
      <c r="E4824" s="849"/>
      <c r="F4824" s="849"/>
      <c r="G4824" s="849"/>
      <c r="H4824" s="849"/>
      <c r="I4824" s="849"/>
      <c r="J4824" s="849"/>
      <c r="K4824" s="849"/>
      <c r="L4824" s="850"/>
      <c r="M4824" s="419"/>
      <c r="N4824" s="420"/>
      <c r="P4824" s="412"/>
      <c r="Q4824" s="391"/>
      <c r="R4824" s="393"/>
    </row>
    <row r="4825" spans="1:19" s="128" customFormat="1" ht="30" customHeight="1" x14ac:dyDescent="0.25">
      <c r="A4825" s="476" t="s">
        <v>552</v>
      </c>
      <c r="B4825" s="477"/>
      <c r="C4825" s="478"/>
      <c r="D4825" s="386" t="s">
        <v>2692</v>
      </c>
      <c r="E4825" s="849"/>
      <c r="F4825" s="849"/>
      <c r="G4825" s="849"/>
      <c r="H4825" s="849"/>
      <c r="I4825" s="849"/>
      <c r="J4825" s="849"/>
      <c r="K4825" s="849"/>
      <c r="L4825" s="850"/>
      <c r="M4825" s="670"/>
      <c r="N4825" s="1603"/>
      <c r="O4825"/>
      <c r="P4825" s="412"/>
      <c r="Q4825" s="391"/>
      <c r="R4825" s="393"/>
      <c r="S4825"/>
    </row>
    <row r="4826" spans="1:19" s="128" customFormat="1" ht="30" customHeight="1" x14ac:dyDescent="0.25">
      <c r="A4826" s="476" t="s">
        <v>553</v>
      </c>
      <c r="B4826" s="477"/>
      <c r="C4826" s="478"/>
      <c r="D4826" s="386" t="s">
        <v>554</v>
      </c>
      <c r="E4826" s="849"/>
      <c r="F4826" s="849"/>
      <c r="G4826" s="849"/>
      <c r="H4826" s="849"/>
      <c r="I4826" s="849"/>
      <c r="J4826" s="849"/>
      <c r="K4826" s="849"/>
      <c r="L4826" s="850"/>
      <c r="M4826" s="670"/>
      <c r="N4826" s="1603"/>
      <c r="O4826"/>
      <c r="P4826" s="412"/>
      <c r="Q4826" s="391"/>
      <c r="R4826" s="393"/>
    </row>
    <row r="4827" spans="1:19" s="128" customFormat="1" ht="38.25" customHeight="1" thickBot="1" x14ac:dyDescent="0.3">
      <c r="A4827" s="1014" t="s">
        <v>556</v>
      </c>
      <c r="B4827" s="1015"/>
      <c r="C4827" s="1016"/>
      <c r="D4827" s="386" t="s">
        <v>2998</v>
      </c>
      <c r="E4827" s="849"/>
      <c r="F4827" s="849"/>
      <c r="G4827" s="849"/>
      <c r="H4827" s="849"/>
      <c r="I4827" s="849"/>
      <c r="J4827" s="849"/>
      <c r="K4827" s="849"/>
      <c r="L4827" s="850"/>
      <c r="M4827" s="419"/>
      <c r="N4827" s="671"/>
      <c r="O4827"/>
      <c r="P4827" s="412"/>
      <c r="Q4827" s="391"/>
      <c r="R4827" s="393"/>
    </row>
    <row r="4828" spans="1:19" ht="30" customHeight="1" thickBot="1" x14ac:dyDescent="0.3">
      <c r="A4828" s="76"/>
      <c r="B4828" s="77"/>
      <c r="C4828" s="77"/>
      <c r="D4828" s="77"/>
      <c r="E4828" s="77"/>
      <c r="F4828" s="77"/>
      <c r="G4828" s="77"/>
      <c r="H4828" s="77"/>
      <c r="I4828" s="77"/>
      <c r="J4828" s="77"/>
      <c r="K4828" s="77"/>
      <c r="L4828" s="78"/>
      <c r="M4828" s="419"/>
      <c r="N4828" s="671"/>
      <c r="O4828" s="43"/>
      <c r="P4828" s="672"/>
      <c r="Q4828" s="671"/>
      <c r="R4828" s="673"/>
    </row>
    <row r="4829" spans="1:19" ht="30" customHeight="1" x14ac:dyDescent="0.25">
      <c r="A4829" s="306" t="s">
        <v>288</v>
      </c>
      <c r="B4829" s="307">
        <v>8951</v>
      </c>
      <c r="C4829" s="880" t="s">
        <v>2999</v>
      </c>
      <c r="D4829" s="881"/>
      <c r="E4829" s="310" t="s">
        <v>291</v>
      </c>
      <c r="F4829" s="311" t="s">
        <v>6</v>
      </c>
      <c r="G4829" s="123" t="s">
        <v>375</v>
      </c>
      <c r="H4829" s="1882">
        <v>504762</v>
      </c>
      <c r="I4829" s="310" t="s">
        <v>292</v>
      </c>
      <c r="J4829" s="38" t="s">
        <v>883</v>
      </c>
      <c r="K4829" s="38"/>
      <c r="L4829" s="389"/>
      <c r="M4829" s="986"/>
      <c r="N4829" s="1603"/>
      <c r="O4829" s="43"/>
      <c r="P4829" s="672"/>
      <c r="Q4829" s="671"/>
      <c r="R4829" s="673"/>
    </row>
    <row r="4830" spans="1:19" ht="30" customHeight="1" x14ac:dyDescent="0.25">
      <c r="A4830" s="695" t="s">
        <v>529</v>
      </c>
      <c r="B4830" s="543" t="s">
        <v>560</v>
      </c>
      <c r="C4830" s="544"/>
      <c r="D4830" s="545"/>
      <c r="E4830" s="1364" t="s">
        <v>519</v>
      </c>
      <c r="F4830" s="546" t="s">
        <v>561</v>
      </c>
      <c r="G4830" s="547" t="s">
        <v>562</v>
      </c>
      <c r="H4830" s="548"/>
      <c r="I4830" s="424" t="s">
        <v>3000</v>
      </c>
      <c r="J4830" s="424" t="s">
        <v>530</v>
      </c>
      <c r="K4830" s="493" t="s">
        <v>521</v>
      </c>
      <c r="L4830" s="494"/>
      <c r="M4830" s="986"/>
      <c r="N4830" s="1603"/>
      <c r="O4830"/>
      <c r="P4830" s="412"/>
      <c r="Q4830" s="391"/>
      <c r="R4830" s="393"/>
      <c r="S4830" s="128"/>
    </row>
    <row r="4831" spans="1:19" ht="30" customHeight="1" x14ac:dyDescent="0.25">
      <c r="A4831" s="24" t="s">
        <v>2644</v>
      </c>
      <c r="B4831" s="323" t="s">
        <v>3001</v>
      </c>
      <c r="C4831" s="324"/>
      <c r="D4831" s="325"/>
      <c r="E4831" s="429">
        <f>+(0.19+0.37)/2</f>
        <v>0.28000000000000003</v>
      </c>
      <c r="F4831" s="5" t="s">
        <v>212</v>
      </c>
      <c r="G4831" s="1667">
        <f>1/7.48</f>
        <v>0.13368983957219249</v>
      </c>
      <c r="H4831" s="698" t="s">
        <v>3002</v>
      </c>
      <c r="I4831" s="1668">
        <f>1508/3375</f>
        <v>0.44681481481481483</v>
      </c>
      <c r="J4831" s="355">
        <v>1.06</v>
      </c>
      <c r="K4831" s="1669">
        <f t="shared" ref="K4831:K4838" si="64">+E4831*G4831*J4831*I4831</f>
        <v>1.7729229550406022E-2</v>
      </c>
      <c r="L4831" s="5" t="s">
        <v>6</v>
      </c>
      <c r="M4831" s="425"/>
      <c r="N4831" s="1603"/>
      <c r="O4831" s="128"/>
      <c r="P4831" s="713"/>
      <c r="Q4831" s="712"/>
      <c r="R4831" s="714"/>
    </row>
    <row r="4832" spans="1:19" ht="30" customHeight="1" x14ac:dyDescent="0.25">
      <c r="A4832" s="10" t="s">
        <v>2735</v>
      </c>
      <c r="B4832" s="323" t="s">
        <v>3003</v>
      </c>
      <c r="C4832" s="324"/>
      <c r="D4832" s="325"/>
      <c r="E4832" s="429">
        <v>97000</v>
      </c>
      <c r="F4832" s="5" t="s">
        <v>11</v>
      </c>
      <c r="G4832" s="1667">
        <f>1/20000</f>
        <v>5.0000000000000002E-5</v>
      </c>
      <c r="H4832" s="698" t="s">
        <v>1808</v>
      </c>
      <c r="I4832" s="1668">
        <f>7/3375</f>
        <v>2.0740740740740741E-3</v>
      </c>
      <c r="J4832" s="355">
        <v>1.04</v>
      </c>
      <c r="K4832" s="1669">
        <f t="shared" si="64"/>
        <v>1.0461629629629631E-2</v>
      </c>
      <c r="L4832" s="5" t="s">
        <v>6</v>
      </c>
      <c r="M4832" s="419"/>
      <c r="N4832" s="1603"/>
      <c r="O4832" s="712"/>
      <c r="P4832" s="128"/>
      <c r="Q4832" s="128"/>
    </row>
    <row r="4833" spans="1:18" ht="30" customHeight="1" x14ac:dyDescent="0.25">
      <c r="A4833" s="24" t="s">
        <v>2644</v>
      </c>
      <c r="B4833" s="323" t="s">
        <v>3004</v>
      </c>
      <c r="C4833" s="324"/>
      <c r="D4833" s="325"/>
      <c r="E4833" s="429">
        <f>+(1.63+2.22)/2</f>
        <v>1.925</v>
      </c>
      <c r="F4833" s="5" t="s">
        <v>212</v>
      </c>
      <c r="G4833" s="1667">
        <f>1/7.48</f>
        <v>0.13368983957219249</v>
      </c>
      <c r="H4833" s="698" t="s">
        <v>3002</v>
      </c>
      <c r="I4833" s="1668">
        <f>668/3375</f>
        <v>0.19792592592592592</v>
      </c>
      <c r="J4833" s="355">
        <v>1.06</v>
      </c>
      <c r="K4833" s="1669">
        <f>+E4833*G4833*J4833*I4833</f>
        <v>5.399302832244008E-2</v>
      </c>
      <c r="L4833" s="5" t="s">
        <v>6</v>
      </c>
      <c r="M4833" s="419"/>
      <c r="N4833" s="1603"/>
      <c r="O4833"/>
      <c r="P4833" s="412"/>
      <c r="Q4833" s="391"/>
      <c r="R4833" s="393"/>
    </row>
    <row r="4834" spans="1:18" s="49" customFormat="1" ht="30" customHeight="1" x14ac:dyDescent="0.25">
      <c r="A4834" s="24" t="s">
        <v>1806</v>
      </c>
      <c r="B4834" s="323" t="s">
        <v>3005</v>
      </c>
      <c r="C4834" s="324"/>
      <c r="D4834" s="325"/>
      <c r="E4834" s="429">
        <v>4675</v>
      </c>
      <c r="F4834" s="5" t="s">
        <v>11</v>
      </c>
      <c r="G4834" s="1667">
        <f>1/1500</f>
        <v>6.6666666666666664E-4</v>
      </c>
      <c r="H4834" s="698" t="s">
        <v>1808</v>
      </c>
      <c r="I4834" s="1668">
        <f>8/3375</f>
        <v>2.3703703703703703E-3</v>
      </c>
      <c r="J4834" s="355">
        <v>1.04</v>
      </c>
      <c r="K4834" s="1669">
        <f>+E4834*G4834*J4834*I4834</f>
        <v>7.6831604938271602E-3</v>
      </c>
      <c r="L4834" s="5" t="s">
        <v>6</v>
      </c>
      <c r="M4834" s="419"/>
      <c r="N4834" s="420"/>
      <c r="P4834" s="412"/>
      <c r="Q4834" s="391"/>
      <c r="R4834" s="393"/>
    </row>
    <row r="4835" spans="1:18" ht="30" customHeight="1" x14ac:dyDescent="0.25">
      <c r="A4835" s="24" t="s">
        <v>2644</v>
      </c>
      <c r="B4835" s="323" t="s">
        <v>3006</v>
      </c>
      <c r="C4835" s="324"/>
      <c r="D4835" s="325"/>
      <c r="E4835" s="429">
        <f>+(2.91+4.54)/2</f>
        <v>3.7250000000000001</v>
      </c>
      <c r="F4835" s="5" t="s">
        <v>212</v>
      </c>
      <c r="G4835" s="1667">
        <f>1/7.48</f>
        <v>0.13368983957219249</v>
      </c>
      <c r="H4835" s="698" t="s">
        <v>3002</v>
      </c>
      <c r="I4835" s="1668">
        <f>108/3375</f>
        <v>3.2000000000000001E-2</v>
      </c>
      <c r="J4835" s="355">
        <v>1.06</v>
      </c>
      <c r="K4835" s="1669">
        <f t="shared" si="64"/>
        <v>1.6891978609625668E-2</v>
      </c>
      <c r="L4835" s="5" t="s">
        <v>6</v>
      </c>
      <c r="M4835" s="670"/>
      <c r="N4835" s="420"/>
      <c r="O4835"/>
      <c r="P4835" s="412"/>
      <c r="Q4835" s="391"/>
      <c r="R4835" s="393"/>
    </row>
    <row r="4836" spans="1:18" s="128" customFormat="1" ht="30" customHeight="1" x14ac:dyDescent="0.25">
      <c r="A4836" s="24" t="s">
        <v>1806</v>
      </c>
      <c r="B4836" s="323" t="s">
        <v>3007</v>
      </c>
      <c r="C4836" s="324"/>
      <c r="D4836" s="325"/>
      <c r="E4836" s="429">
        <v>4225</v>
      </c>
      <c r="F4836" s="5" t="s">
        <v>11</v>
      </c>
      <c r="G4836" s="1667">
        <f>1/2500</f>
        <v>4.0000000000000002E-4</v>
      </c>
      <c r="H4836" s="698" t="s">
        <v>1808</v>
      </c>
      <c r="I4836" s="1668">
        <f>527/3375</f>
        <v>0.15614814814814815</v>
      </c>
      <c r="J4836" s="10">
        <v>1.04</v>
      </c>
      <c r="K4836" s="1669">
        <f t="shared" si="64"/>
        <v>0.2744459851851852</v>
      </c>
      <c r="L4836" s="5" t="s">
        <v>6</v>
      </c>
      <c r="M4836" s="670"/>
      <c r="N4836" s="420"/>
      <c r="O4836"/>
      <c r="P4836" s="412"/>
      <c r="Q4836" s="391"/>
      <c r="R4836" s="393"/>
    </row>
    <row r="4837" spans="1:18" s="128" customFormat="1" ht="30" customHeight="1" x14ac:dyDescent="0.25">
      <c r="A4837" s="24" t="s">
        <v>2644</v>
      </c>
      <c r="B4837" s="346" t="s">
        <v>3008</v>
      </c>
      <c r="C4837" s="347"/>
      <c r="D4837" s="348"/>
      <c r="E4837" s="429">
        <f>+(2.53+3.71)/2</f>
        <v>3.12</v>
      </c>
      <c r="F4837" s="5" t="s">
        <v>212</v>
      </c>
      <c r="G4837" s="1667">
        <f>1/7.48</f>
        <v>0.13368983957219249</v>
      </c>
      <c r="H4837" s="698" t="s">
        <v>3002</v>
      </c>
      <c r="I4837" s="1668">
        <f>26/3375</f>
        <v>7.7037037037037039E-3</v>
      </c>
      <c r="J4837" s="10">
        <v>1.06</v>
      </c>
      <c r="K4837" s="1669">
        <f t="shared" si="64"/>
        <v>3.4061081402257869E-3</v>
      </c>
      <c r="L4837" s="5" t="s">
        <v>6</v>
      </c>
      <c r="M4837" s="419"/>
      <c r="N4837" s="671"/>
      <c r="O4837"/>
      <c r="P4837" s="412"/>
      <c r="Q4837" s="391"/>
      <c r="R4837" s="393"/>
    </row>
    <row r="4838" spans="1:18" s="128" customFormat="1" ht="30" customHeight="1" x14ac:dyDescent="0.25">
      <c r="A4838" s="24" t="s">
        <v>1806</v>
      </c>
      <c r="B4838" s="323" t="s">
        <v>3009</v>
      </c>
      <c r="C4838" s="324"/>
      <c r="D4838" s="325"/>
      <c r="E4838" s="429">
        <v>43300</v>
      </c>
      <c r="F4838" s="5" t="s">
        <v>11</v>
      </c>
      <c r="G4838" s="1670">
        <f>1/30000</f>
        <v>3.3333333333333335E-5</v>
      </c>
      <c r="H4838" s="698" t="s">
        <v>1808</v>
      </c>
      <c r="I4838" s="1668">
        <f>521/3375</f>
        <v>0.15437037037037038</v>
      </c>
      <c r="J4838" s="10">
        <v>1.04</v>
      </c>
      <c r="K4838" s="1669">
        <f t="shared" si="64"/>
        <v>0.23172021728395065</v>
      </c>
      <c r="L4838" s="5" t="s">
        <v>6</v>
      </c>
      <c r="M4838" s="419"/>
      <c r="N4838" s="671"/>
      <c r="O4838"/>
      <c r="P4838" s="412"/>
      <c r="Q4838" s="391"/>
      <c r="R4838" s="393"/>
    </row>
    <row r="4839" spans="1:18" ht="30" customHeight="1" x14ac:dyDescent="0.25">
      <c r="A4839" s="24"/>
      <c r="B4839" s="334"/>
      <c r="C4839" s="335"/>
      <c r="D4839" s="336"/>
      <c r="E4839" s="1671"/>
      <c r="F4839" s="1590"/>
      <c r="G4839" s="844"/>
      <c r="H4839" s="1592"/>
      <c r="I4839" s="1672"/>
      <c r="J4839" s="10"/>
      <c r="K4839" s="1673"/>
      <c r="L4839" s="1590"/>
      <c r="M4839" s="419"/>
      <c r="N4839" s="420"/>
      <c r="O4839" s="43"/>
      <c r="P4839" s="672"/>
      <c r="Q4839" s="671"/>
      <c r="R4839" s="673"/>
    </row>
    <row r="4840" spans="1:18" ht="30" customHeight="1" x14ac:dyDescent="0.25">
      <c r="A4840" s="24"/>
      <c r="B4840" s="334"/>
      <c r="C4840" s="335"/>
      <c r="D4840" s="336"/>
      <c r="E4840" s="1674"/>
      <c r="F4840" s="1590"/>
      <c r="G4840" s="844"/>
      <c r="H4840" s="1041"/>
      <c r="I4840" s="10"/>
      <c r="J4840" s="1177" t="s">
        <v>578</v>
      </c>
      <c r="K4840" s="1589">
        <f>SUM(K4831:K4838)</f>
        <v>0.61633133721529021</v>
      </c>
      <c r="L4840" s="1590" t="s">
        <v>6</v>
      </c>
      <c r="M4840" s="419"/>
      <c r="N4840" s="420"/>
      <c r="O4840" s="43"/>
      <c r="P4840" s="672"/>
      <c r="Q4840" s="671"/>
      <c r="R4840" s="673"/>
    </row>
    <row r="4841" spans="1:18" s="128" customFormat="1" ht="30" customHeight="1" x14ac:dyDescent="0.25">
      <c r="A4841" s="61"/>
      <c r="B4841" s="1295" t="s">
        <v>3010</v>
      </c>
      <c r="C4841" s="1296"/>
      <c r="D4841" s="1297"/>
      <c r="E4841" s="405"/>
      <c r="F4841" s="338" t="s">
        <v>533</v>
      </c>
      <c r="G4841" s="339" t="s">
        <v>534</v>
      </c>
      <c r="H4841" s="339"/>
      <c r="I4841" s="339"/>
      <c r="J4841" s="339"/>
      <c r="K4841" s="340">
        <v>1.07</v>
      </c>
      <c r="L4841" s="10"/>
      <c r="M4841" s="1315"/>
      <c r="N4841" s="420"/>
      <c r="O4841"/>
      <c r="P4841" s="412"/>
      <c r="Q4841" s="391"/>
      <c r="R4841" s="393"/>
    </row>
    <row r="4842" spans="1:18" s="128" customFormat="1" ht="30" customHeight="1" x14ac:dyDescent="0.25">
      <c r="A4842" s="61"/>
      <c r="B4842" s="1675"/>
      <c r="C4842" s="1676"/>
      <c r="D4842" s="1677"/>
      <c r="E4842" s="405"/>
      <c r="F4842" s="343"/>
      <c r="G4842" s="344" t="s">
        <v>535</v>
      </c>
      <c r="H4842" s="344"/>
      <c r="I4842" s="344"/>
      <c r="J4842" s="344"/>
      <c r="K4842" s="340">
        <v>1.02</v>
      </c>
      <c r="L4842" s="10"/>
      <c r="M4842" s="419"/>
      <c r="N4842" s="1603"/>
      <c r="O4842"/>
      <c r="P4842" s="412"/>
      <c r="Q4842" s="391"/>
      <c r="R4842" s="393"/>
    </row>
    <row r="4843" spans="1:18" s="128" customFormat="1" ht="30" customHeight="1" x14ac:dyDescent="0.25">
      <c r="A4843" s="24"/>
      <c r="B4843" s="1678"/>
      <c r="C4843" s="1679"/>
      <c r="D4843" s="1680"/>
      <c r="E4843" s="1674"/>
      <c r="F4843" s="1590"/>
      <c r="G4843" s="844"/>
      <c r="H4843" s="1041"/>
      <c r="I4843" s="10"/>
      <c r="J4843" s="355" t="s">
        <v>358</v>
      </c>
      <c r="K4843" s="700">
        <f>+K4840*K4841/K4842</f>
        <v>0.64654365766702016</v>
      </c>
      <c r="L4843" s="5" t="s">
        <v>6</v>
      </c>
      <c r="M4843" s="419"/>
      <c r="N4843" s="1617"/>
      <c r="O4843"/>
      <c r="P4843" s="412"/>
      <c r="Q4843" s="391"/>
      <c r="R4843" s="393"/>
    </row>
    <row r="4844" spans="1:18" s="128" customFormat="1" ht="30" customHeight="1" x14ac:dyDescent="0.25">
      <c r="A4844" s="64"/>
      <c r="B4844" s="10"/>
      <c r="C4844" s="13"/>
      <c r="D4844" s="13"/>
      <c r="E4844" s="13"/>
      <c r="F4844" s="13"/>
      <c r="G4844" s="573" t="s">
        <v>652</v>
      </c>
      <c r="H4844" s="13"/>
      <c r="I4844" s="13"/>
      <c r="J4844" s="1681">
        <f>VLOOKUP(B4829,'Mil Cost Premiums for RUCs'!$A$4:$R$265,18,FALSE)</f>
        <v>1.0209999999999999</v>
      </c>
      <c r="K4844" s="326">
        <f>+K4843*J4844</f>
        <v>0.66012107447802748</v>
      </c>
      <c r="L4844" s="5" t="s">
        <v>6</v>
      </c>
      <c r="M4844" s="986"/>
      <c r="N4844" s="1883"/>
      <c r="O4844"/>
      <c r="P4844" s="412"/>
      <c r="Q4844" s="391"/>
      <c r="R4844" s="393"/>
    </row>
    <row r="4845" spans="1:18" s="128" customFormat="1" ht="75" customHeight="1" x14ac:dyDescent="0.25">
      <c r="A4845" s="580" t="s">
        <v>538</v>
      </c>
      <c r="B4845" s="532"/>
      <c r="C4845" s="532"/>
      <c r="D4845" s="532"/>
      <c r="E4845" s="532"/>
      <c r="F4845" s="532"/>
      <c r="G4845" s="532"/>
      <c r="H4845" s="532"/>
      <c r="I4845" s="532"/>
      <c r="J4845" s="532"/>
      <c r="K4845" s="532"/>
      <c r="L4845" s="533"/>
      <c r="M4845" s="419"/>
      <c r="N4845" s="420"/>
      <c r="O4845"/>
      <c r="P4845" s="412"/>
      <c r="Q4845" s="391"/>
      <c r="R4845" s="393"/>
    </row>
    <row r="4846" spans="1:18" s="128" customFormat="1" ht="75" customHeight="1" x14ac:dyDescent="0.25">
      <c r="A4846" s="476" t="s">
        <v>539</v>
      </c>
      <c r="B4846" s="477"/>
      <c r="C4846" s="478"/>
      <c r="D4846" s="386" t="s">
        <v>3011</v>
      </c>
      <c r="E4846" s="849"/>
      <c r="F4846" s="849"/>
      <c r="G4846" s="849"/>
      <c r="H4846" s="849"/>
      <c r="I4846" s="849"/>
      <c r="J4846" s="849"/>
      <c r="K4846" s="849"/>
      <c r="L4846" s="850"/>
      <c r="M4846" s="556"/>
      <c r="N4846" s="420"/>
      <c r="O4846"/>
      <c r="P4846" s="412"/>
      <c r="Q4846" s="391"/>
      <c r="R4846" s="393"/>
    </row>
    <row r="4847" spans="1:18" s="128" customFormat="1" ht="30" customHeight="1" x14ac:dyDescent="0.25">
      <c r="A4847" s="476" t="s">
        <v>541</v>
      </c>
      <c r="B4847" s="477"/>
      <c r="C4847" s="478"/>
      <c r="D4847" s="386" t="s">
        <v>3012</v>
      </c>
      <c r="E4847" s="849"/>
      <c r="F4847" s="849"/>
      <c r="G4847" s="849"/>
      <c r="H4847" s="849"/>
      <c r="I4847" s="849"/>
      <c r="J4847" s="849"/>
      <c r="K4847" s="849"/>
      <c r="L4847" s="850"/>
      <c r="M4847" s="556"/>
      <c r="N4847" s="420"/>
      <c r="O4847"/>
      <c r="P4847" s="412"/>
      <c r="Q4847" s="391"/>
      <c r="R4847" s="393"/>
    </row>
    <row r="4848" spans="1:18" s="128" customFormat="1" ht="30" customHeight="1" x14ac:dyDescent="0.25">
      <c r="A4848" s="476" t="s">
        <v>543</v>
      </c>
      <c r="B4848" s="477"/>
      <c r="C4848" s="478"/>
      <c r="D4848" s="386" t="s">
        <v>3013</v>
      </c>
      <c r="E4848" s="849"/>
      <c r="F4848" s="849"/>
      <c r="G4848" s="849"/>
      <c r="H4848" s="849"/>
      <c r="I4848" s="849"/>
      <c r="J4848" s="849"/>
      <c r="K4848" s="849"/>
      <c r="L4848" s="850"/>
      <c r="M4848" s="419"/>
      <c r="N4848" s="1634"/>
      <c r="O4848"/>
      <c r="P4848" s="412"/>
      <c r="Q4848" s="391"/>
      <c r="R4848" s="393"/>
    </row>
    <row r="4849" spans="1:19" s="128" customFormat="1" ht="30" customHeight="1" x14ac:dyDescent="0.25">
      <c r="A4849" s="476" t="s">
        <v>546</v>
      </c>
      <c r="B4849" s="477"/>
      <c r="C4849" s="478"/>
      <c r="D4849" s="386" t="s">
        <v>3014</v>
      </c>
      <c r="E4849" s="849"/>
      <c r="F4849" s="849"/>
      <c r="G4849" s="849"/>
      <c r="H4849" s="849"/>
      <c r="I4849" s="849"/>
      <c r="J4849" s="849"/>
      <c r="K4849" s="849"/>
      <c r="L4849" s="850"/>
      <c r="M4849" s="419"/>
      <c r="N4849" s="671"/>
      <c r="O4849"/>
      <c r="P4849" s="412"/>
      <c r="Q4849" s="391"/>
      <c r="R4849" s="393"/>
    </row>
    <row r="4850" spans="1:19" s="128" customFormat="1" ht="30" customHeight="1" x14ac:dyDescent="0.25">
      <c r="A4850" s="476" t="s">
        <v>548</v>
      </c>
      <c r="B4850" s="477"/>
      <c r="C4850" s="478"/>
      <c r="D4850" s="386" t="s">
        <v>3015</v>
      </c>
      <c r="E4850" s="849"/>
      <c r="F4850" s="849"/>
      <c r="G4850" s="849"/>
      <c r="H4850" s="849"/>
      <c r="I4850" s="849"/>
      <c r="J4850" s="849"/>
      <c r="K4850" s="849"/>
      <c r="L4850" s="850"/>
      <c r="M4850" s="556"/>
      <c r="N4850" s="420"/>
      <c r="O4850"/>
      <c r="P4850" s="412"/>
      <c r="Q4850" s="391"/>
      <c r="R4850" s="393"/>
    </row>
    <row r="4851" spans="1:19" s="128" customFormat="1" ht="30" customHeight="1" x14ac:dyDescent="0.25">
      <c r="A4851" s="476" t="s">
        <v>550</v>
      </c>
      <c r="B4851" s="477"/>
      <c r="C4851" s="478"/>
      <c r="D4851" s="386" t="s">
        <v>2441</v>
      </c>
      <c r="E4851" s="849"/>
      <c r="F4851" s="849"/>
      <c r="G4851" s="849"/>
      <c r="H4851" s="849"/>
      <c r="I4851" s="849"/>
      <c r="J4851" s="849"/>
      <c r="K4851" s="849"/>
      <c r="L4851" s="850"/>
      <c r="M4851" s="556"/>
      <c r="N4851" s="420"/>
      <c r="O4851"/>
      <c r="P4851" s="412"/>
      <c r="Q4851" s="391"/>
      <c r="R4851" s="393"/>
    </row>
    <row r="4852" spans="1:19" s="128" customFormat="1" ht="30" customHeight="1" x14ac:dyDescent="0.25">
      <c r="A4852" s="476" t="s">
        <v>552</v>
      </c>
      <c r="B4852" s="477"/>
      <c r="C4852" s="478"/>
      <c r="D4852" s="386" t="s">
        <v>3016</v>
      </c>
      <c r="E4852" s="849"/>
      <c r="F4852" s="849"/>
      <c r="G4852" s="849"/>
      <c r="H4852" s="849"/>
      <c r="I4852" s="849"/>
      <c r="J4852" s="849"/>
      <c r="K4852" s="849"/>
      <c r="L4852" s="850"/>
      <c r="M4852" s="419"/>
      <c r="N4852" s="556"/>
      <c r="O4852"/>
      <c r="P4852" s="412"/>
      <c r="Q4852" s="391"/>
      <c r="R4852" s="393"/>
    </row>
    <row r="4853" spans="1:19" s="128" customFormat="1" ht="30" customHeight="1" x14ac:dyDescent="0.25">
      <c r="A4853" s="476" t="s">
        <v>553</v>
      </c>
      <c r="B4853" s="477"/>
      <c r="C4853" s="478"/>
      <c r="D4853" s="386" t="s">
        <v>3017</v>
      </c>
      <c r="E4853" s="849"/>
      <c r="F4853" s="849"/>
      <c r="G4853" s="849"/>
      <c r="H4853" s="849"/>
      <c r="I4853" s="849"/>
      <c r="J4853" s="849"/>
      <c r="K4853" s="849"/>
      <c r="L4853" s="850"/>
      <c r="M4853" s="556"/>
      <c r="N4853" s="556"/>
      <c r="O4853"/>
      <c r="P4853" s="412"/>
      <c r="Q4853" s="391"/>
      <c r="R4853" s="393"/>
    </row>
    <row r="4854" spans="1:19" s="128" customFormat="1" ht="153" customHeight="1" thickBot="1" x14ac:dyDescent="0.3">
      <c r="A4854" s="1014" t="s">
        <v>556</v>
      </c>
      <c r="B4854" s="1015"/>
      <c r="C4854" s="1016"/>
      <c r="D4854" s="386" t="s">
        <v>3018</v>
      </c>
      <c r="E4854" s="849"/>
      <c r="F4854" s="849"/>
      <c r="G4854" s="849"/>
      <c r="H4854" s="849"/>
      <c r="I4854" s="849"/>
      <c r="J4854" s="849"/>
      <c r="K4854" s="849"/>
      <c r="L4854" s="850"/>
      <c r="M4854" s="419"/>
      <c r="N4854" s="420"/>
      <c r="O4854"/>
      <c r="P4854" s="412"/>
      <c r="Q4854" s="391"/>
      <c r="R4854" s="393"/>
    </row>
    <row r="4855" spans="1:19" ht="30" customHeight="1" thickBot="1" x14ac:dyDescent="0.3">
      <c r="A4855" s="76"/>
      <c r="B4855" s="77"/>
      <c r="C4855" s="77"/>
      <c r="D4855" s="77"/>
      <c r="E4855" s="77"/>
      <c r="F4855" s="77"/>
      <c r="G4855" s="77"/>
      <c r="H4855" s="77"/>
      <c r="I4855" s="77"/>
      <c r="J4855" s="77"/>
      <c r="K4855" s="77"/>
      <c r="L4855" s="78"/>
      <c r="M4855" s="419"/>
      <c r="N4855" s="556"/>
      <c r="O4855" s="128"/>
      <c r="P4855" s="713"/>
      <c r="Q4855" s="712"/>
      <c r="R4855" s="714"/>
    </row>
    <row r="4856" spans="1:19" ht="30" customHeight="1" x14ac:dyDescent="0.25">
      <c r="M4856" s="419"/>
      <c r="N4856" s="420"/>
      <c r="O4856"/>
      <c r="P4856" s="412"/>
      <c r="Q4856" s="391"/>
      <c r="R4856" s="393"/>
    </row>
    <row r="4857" spans="1:19" ht="30" customHeight="1" x14ac:dyDescent="0.25">
      <c r="M4857" s="419"/>
      <c r="N4857" s="420"/>
      <c r="O4857"/>
      <c r="P4857" s="412"/>
      <c r="Q4857" s="391"/>
      <c r="R4857" s="393"/>
    </row>
    <row r="4858" spans="1:19" s="49" customFormat="1" ht="30" customHeight="1" x14ac:dyDescent="0.25">
      <c r="A4858" s="712"/>
      <c r="B4858" s="128"/>
      <c r="C4858" s="128"/>
      <c r="D4858" s="128"/>
      <c r="E4858" s="128"/>
      <c r="F4858" s="128"/>
      <c r="G4858" s="128"/>
      <c r="H4858" s="128"/>
      <c r="I4858" s="128"/>
      <c r="J4858" s="128"/>
      <c r="K4858" s="128"/>
      <c r="L4858" s="128"/>
      <c r="M4858" s="419"/>
      <c r="N4858" s="420"/>
      <c r="P4858" s="412"/>
      <c r="Q4858" s="391"/>
      <c r="R4858" s="393"/>
    </row>
    <row r="4859" spans="1:19" ht="30" customHeight="1" x14ac:dyDescent="0.25">
      <c r="M4859" s="419"/>
      <c r="N4859" s="420"/>
      <c r="O4859"/>
      <c r="P4859" s="412"/>
      <c r="Q4859" s="391"/>
      <c r="R4859" s="393"/>
    </row>
    <row r="4860" spans="1:19" ht="30" customHeight="1" x14ac:dyDescent="0.25">
      <c r="M4860" s="419"/>
      <c r="N4860" s="420"/>
      <c r="O4860"/>
      <c r="P4860" s="412"/>
      <c r="Q4860" s="391"/>
      <c r="R4860" s="393"/>
      <c r="S4860" s="128"/>
    </row>
    <row r="4861" spans="1:19" ht="30" customHeight="1" x14ac:dyDescent="0.25">
      <c r="M4861" s="419"/>
      <c r="N4861" s="420"/>
      <c r="O4861"/>
      <c r="P4861" s="412"/>
      <c r="Q4861" s="391"/>
      <c r="R4861" s="393"/>
      <c r="S4861" s="128"/>
    </row>
    <row r="4862" spans="1:19" ht="30" customHeight="1" x14ac:dyDescent="0.25">
      <c r="M4862" s="419"/>
      <c r="N4862" s="420"/>
      <c r="O4862"/>
      <c r="P4862" s="412"/>
      <c r="Q4862" s="391"/>
      <c r="R4862" s="393"/>
      <c r="S4862" s="128"/>
    </row>
    <row r="4863" spans="1:19" ht="30" customHeight="1" x14ac:dyDescent="0.25">
      <c r="M4863" s="419"/>
      <c r="N4863" s="420"/>
      <c r="O4863"/>
      <c r="P4863" s="412"/>
      <c r="Q4863" s="391"/>
      <c r="R4863" s="393"/>
      <c r="S4863" s="128"/>
    </row>
    <row r="4864" spans="1:19" ht="30" customHeight="1" x14ac:dyDescent="0.25">
      <c r="M4864" s="419"/>
      <c r="N4864" s="420"/>
      <c r="O4864"/>
      <c r="P4864" s="412"/>
      <c r="Q4864" s="391"/>
      <c r="R4864" s="393"/>
      <c r="S4864" s="128"/>
    </row>
    <row r="4865" spans="13:19" ht="30" customHeight="1" x14ac:dyDescent="0.25">
      <c r="M4865" s="502"/>
      <c r="N4865" s="420"/>
      <c r="O4865"/>
      <c r="P4865" s="412"/>
      <c r="Q4865" s="391"/>
      <c r="R4865" s="393"/>
      <c r="S4865" s="128"/>
    </row>
    <row r="4866" spans="13:19" ht="30" customHeight="1" x14ac:dyDescent="0.25">
      <c r="N4866" s="1603"/>
      <c r="O4866" s="43"/>
      <c r="P4866" s="672"/>
      <c r="Q4866" s="671"/>
      <c r="R4866" s="673"/>
    </row>
    <row r="4867" spans="13:19" ht="30" customHeight="1" x14ac:dyDescent="0.25">
      <c r="N4867" s="420"/>
      <c r="O4867" s="43"/>
      <c r="P4867" s="672"/>
      <c r="Q4867" s="671"/>
      <c r="R4867" s="673"/>
    </row>
    <row r="4868" spans="13:19" ht="30" customHeight="1" x14ac:dyDescent="0.25">
      <c r="N4868" s="420"/>
      <c r="O4868"/>
      <c r="P4868" s="412"/>
      <c r="Q4868" s="391"/>
      <c r="R4868" s="393"/>
      <c r="S4868" s="128"/>
    </row>
    <row r="4869" spans="13:19" ht="30" customHeight="1" x14ac:dyDescent="0.25">
      <c r="N4869" s="420"/>
      <c r="O4869"/>
      <c r="P4869" s="412"/>
      <c r="Q4869" s="391"/>
      <c r="R4869" s="393"/>
      <c r="S4869" s="128"/>
    </row>
    <row r="4870" spans="13:19" ht="30" customHeight="1" x14ac:dyDescent="0.25">
      <c r="N4870" s="420"/>
      <c r="O4870"/>
      <c r="P4870" s="412"/>
      <c r="Q4870" s="391"/>
      <c r="R4870" s="393"/>
      <c r="S4870" s="128"/>
    </row>
    <row r="4871" spans="13:19" ht="30" customHeight="1" x14ac:dyDescent="0.25">
      <c r="N4871" s="420"/>
      <c r="O4871"/>
      <c r="P4871" s="412"/>
      <c r="Q4871" s="391"/>
      <c r="R4871" s="393"/>
      <c r="S4871" s="128"/>
    </row>
    <row r="4872" spans="13:19" ht="30" customHeight="1" x14ac:dyDescent="0.25">
      <c r="M4872" s="1924"/>
      <c r="N4872" s="420"/>
      <c r="O4872"/>
      <c r="P4872" s="412"/>
      <c r="Q4872" s="391"/>
      <c r="R4872" s="393"/>
      <c r="S4872" s="128"/>
    </row>
    <row r="4873" spans="13:19" ht="30" customHeight="1" x14ac:dyDescent="0.25">
      <c r="M4873" s="670"/>
      <c r="N4873" s="420"/>
      <c r="O4873"/>
      <c r="P4873" s="412"/>
      <c r="Q4873" s="391"/>
      <c r="R4873" s="393"/>
      <c r="S4873" s="128"/>
    </row>
    <row r="4874" spans="13:19" ht="30" customHeight="1" x14ac:dyDescent="0.25">
      <c r="M4874" s="670"/>
      <c r="N4874" s="420"/>
      <c r="O4874"/>
      <c r="P4874" s="412"/>
      <c r="Q4874" s="391"/>
      <c r="R4874" s="393"/>
      <c r="S4874" s="128"/>
    </row>
    <row r="4875" spans="13:19" ht="30" customHeight="1" x14ac:dyDescent="0.25">
      <c r="M4875" s="419"/>
      <c r="N4875" s="671"/>
      <c r="O4875"/>
      <c r="P4875" s="412"/>
      <c r="Q4875" s="391"/>
      <c r="R4875" s="393"/>
      <c r="S4875" s="128"/>
    </row>
    <row r="4876" spans="13:19" ht="30" customHeight="1" x14ac:dyDescent="0.25">
      <c r="M4876" s="419"/>
      <c r="N4876" s="671"/>
      <c r="O4876"/>
      <c r="P4876" s="412"/>
      <c r="Q4876" s="391"/>
      <c r="R4876" s="393"/>
      <c r="S4876" s="128"/>
    </row>
    <row r="4877" spans="13:19" ht="30" customHeight="1" x14ac:dyDescent="0.25">
      <c r="M4877" s="419"/>
      <c r="N4877" s="420"/>
      <c r="O4877"/>
      <c r="P4877" s="412"/>
      <c r="Q4877" s="391"/>
      <c r="R4877" s="393"/>
      <c r="S4877" s="128"/>
    </row>
    <row r="4878" spans="13:19" ht="30" customHeight="1" x14ac:dyDescent="0.25">
      <c r="M4878" s="419"/>
      <c r="N4878" s="420"/>
      <c r="O4878"/>
      <c r="P4878" s="412"/>
      <c r="Q4878" s="391"/>
      <c r="R4878" s="393"/>
      <c r="S4878" s="128"/>
    </row>
    <row r="4879" spans="13:19" ht="30" customHeight="1" x14ac:dyDescent="0.25">
      <c r="M4879" s="419"/>
      <c r="N4879" s="420"/>
    </row>
    <row r="4880" spans="13:19" ht="30" customHeight="1" x14ac:dyDescent="0.25">
      <c r="M4880" s="419"/>
      <c r="N4880" s="420"/>
    </row>
    <row r="4881" spans="1:23" ht="30" customHeight="1" x14ac:dyDescent="0.25">
      <c r="M4881" s="419"/>
      <c r="N4881" s="420"/>
    </row>
    <row r="4882" spans="1:23" ht="30" customHeight="1" x14ac:dyDescent="0.25">
      <c r="M4882" s="419"/>
      <c r="N4882" s="420"/>
    </row>
    <row r="4883" spans="1:23" ht="30" customHeight="1" x14ac:dyDescent="0.25">
      <c r="M4883" s="419"/>
      <c r="N4883" s="420"/>
    </row>
    <row r="4884" spans="1:23" ht="30" customHeight="1" x14ac:dyDescent="0.25">
      <c r="M4884" s="419"/>
      <c r="N4884" s="420"/>
    </row>
    <row r="4885" spans="1:23" ht="30" customHeight="1" x14ac:dyDescent="0.25">
      <c r="M4885" s="419"/>
      <c r="N4885" s="420"/>
    </row>
    <row r="4886" spans="1:23" ht="30" customHeight="1" x14ac:dyDescent="0.25">
      <c r="M4886" s="419"/>
      <c r="N4886" s="420"/>
    </row>
    <row r="4887" spans="1:23" s="27" customFormat="1" ht="30" customHeight="1" x14ac:dyDescent="0.25">
      <c r="A4887" s="712"/>
      <c r="B4887" s="128"/>
      <c r="C4887" s="128"/>
      <c r="D4887" s="128"/>
      <c r="E4887" s="128"/>
      <c r="F4887" s="128"/>
      <c r="G4887" s="128"/>
      <c r="H4887" s="128"/>
      <c r="I4887" s="128"/>
      <c r="J4887" s="128"/>
      <c r="K4887" s="128"/>
      <c r="L4887" s="128"/>
      <c r="M4887" s="419"/>
      <c r="N4887" s="420"/>
      <c r="P4887"/>
      <c r="Q4887"/>
      <c r="R4887"/>
      <c r="S4887"/>
      <c r="T4887"/>
      <c r="U4887"/>
      <c r="V4887"/>
      <c r="W4887"/>
    </row>
    <row r="4888" spans="1:23" s="27" customFormat="1" ht="30" customHeight="1" x14ac:dyDescent="0.25">
      <c r="A4888" s="712"/>
      <c r="B4888" s="128"/>
      <c r="C4888" s="128"/>
      <c r="D4888" s="128"/>
      <c r="E4888" s="128"/>
      <c r="F4888" s="128"/>
      <c r="G4888" s="128"/>
      <c r="H4888" s="128"/>
      <c r="I4888" s="128"/>
      <c r="J4888" s="128"/>
      <c r="K4888" s="128"/>
      <c r="L4888" s="128"/>
      <c r="M4888" s="25"/>
      <c r="N4888" s="420"/>
      <c r="P4888"/>
      <c r="Q4888"/>
      <c r="R4888"/>
      <c r="S4888"/>
      <c r="T4888"/>
      <c r="U4888"/>
      <c r="V4888"/>
      <c r="W4888"/>
    </row>
    <row r="4889" spans="1:23" s="27" customFormat="1" ht="30" customHeight="1" x14ac:dyDescent="0.25">
      <c r="A4889" s="712"/>
      <c r="B4889" s="128"/>
      <c r="C4889" s="128"/>
      <c r="D4889" s="128"/>
      <c r="E4889" s="128"/>
      <c r="F4889" s="128"/>
      <c r="G4889" s="128"/>
      <c r="H4889" s="128"/>
      <c r="I4889" s="128"/>
      <c r="J4889" s="128"/>
      <c r="K4889" s="128"/>
      <c r="L4889" s="128"/>
      <c r="M4889" s="25"/>
      <c r="N4889" s="420"/>
      <c r="P4889"/>
      <c r="Q4889"/>
      <c r="R4889"/>
      <c r="S4889"/>
      <c r="T4889"/>
      <c r="U4889"/>
      <c r="V4889"/>
      <c r="W4889"/>
    </row>
  </sheetData>
  <mergeCells count="6573">
    <mergeCell ref="B611:D612"/>
    <mergeCell ref="B3855:D3855"/>
    <mergeCell ref="B4049:D4049"/>
    <mergeCell ref="B4050:D4050"/>
    <mergeCell ref="J1505:L1505"/>
    <mergeCell ref="C254:D254"/>
    <mergeCell ref="J254:L254"/>
    <mergeCell ref="B255:D255"/>
    <mergeCell ref="B261:D261"/>
    <mergeCell ref="B264:D264"/>
    <mergeCell ref="A265:D267"/>
    <mergeCell ref="B243:D243"/>
    <mergeCell ref="B244:D244"/>
    <mergeCell ref="B248:D248"/>
    <mergeCell ref="A250:D252"/>
    <mergeCell ref="I250:J250"/>
    <mergeCell ref="A253:L253"/>
    <mergeCell ref="B232:D232"/>
    <mergeCell ref="B236:D236"/>
    <mergeCell ref="A238:D240"/>
    <mergeCell ref="A241:L241"/>
    <mergeCell ref="C242:D242"/>
    <mergeCell ref="J242:L242"/>
    <mergeCell ref="C2367:D2367"/>
    <mergeCell ref="J2367:L2367"/>
    <mergeCell ref="I2410:J2410"/>
    <mergeCell ref="C2413:D2413"/>
    <mergeCell ref="J2413:L2413"/>
    <mergeCell ref="B2414:D2414"/>
    <mergeCell ref="I2411:J2411"/>
    <mergeCell ref="B2797:D2797"/>
    <mergeCell ref="G2799:J2799"/>
    <mergeCell ref="G2800:J2800"/>
    <mergeCell ref="A2803:L2803"/>
    <mergeCell ref="A2802:D2802"/>
    <mergeCell ref="A2801:D2801"/>
    <mergeCell ref="A752:L752"/>
    <mergeCell ref="C2793:D2793"/>
    <mergeCell ref="J2793:L2793"/>
    <mergeCell ref="B2794:D2794"/>
    <mergeCell ref="G2794:H2794"/>
    <mergeCell ref="K2794:L2794"/>
    <mergeCell ref="I2408:J2408"/>
    <mergeCell ref="A4855:L4855"/>
    <mergeCell ref="C742:D742"/>
    <mergeCell ref="J742:L742"/>
    <mergeCell ref="B743:D743"/>
    <mergeCell ref="G743:H743"/>
    <mergeCell ref="K743:L743"/>
    <mergeCell ref="B744:D744"/>
    <mergeCell ref="B745:D745"/>
    <mergeCell ref="B746:D746"/>
    <mergeCell ref="B747:D747"/>
    <mergeCell ref="A4852:C4852"/>
    <mergeCell ref="D4852:L4852"/>
    <mergeCell ref="A4853:C4853"/>
    <mergeCell ref="D4853:L4853"/>
    <mergeCell ref="A4854:C4854"/>
    <mergeCell ref="D4854:L4854"/>
    <mergeCell ref="A4849:C4849"/>
    <mergeCell ref="D4849:L4849"/>
    <mergeCell ref="A4850:C4850"/>
    <mergeCell ref="D4850:L4850"/>
    <mergeCell ref="A4851:C4851"/>
    <mergeCell ref="D4851:L4851"/>
    <mergeCell ref="A4845:L4845"/>
    <mergeCell ref="A4846:C4846"/>
    <mergeCell ref="D4846:L4846"/>
    <mergeCell ref="A4847:C4847"/>
    <mergeCell ref="D4847:L4847"/>
    <mergeCell ref="A4848:C4848"/>
    <mergeCell ref="D4848:L4848"/>
    <mergeCell ref="B4841:D4841"/>
    <mergeCell ref="F4841:F4842"/>
    <mergeCell ref="G4841:J4841"/>
    <mergeCell ref="B4842:D4843"/>
    <mergeCell ref="G4842:J4842"/>
    <mergeCell ref="B4833:D4833"/>
    <mergeCell ref="B4834:D4834"/>
    <mergeCell ref="B4835:D4835"/>
    <mergeCell ref="B4836:D4836"/>
    <mergeCell ref="B4837:D4837"/>
    <mergeCell ref="B4838:D4838"/>
    <mergeCell ref="B4830:D4830"/>
    <mergeCell ref="G4830:H4830"/>
    <mergeCell ref="K4830:L4830"/>
    <mergeCell ref="B4831:D4831"/>
    <mergeCell ref="B4832:D4832"/>
    <mergeCell ref="A4826:C4826"/>
    <mergeCell ref="D4826:L4826"/>
    <mergeCell ref="A4827:C4827"/>
    <mergeCell ref="D4827:L4827"/>
    <mergeCell ref="A4828:L4828"/>
    <mergeCell ref="C4829:D4829"/>
    <mergeCell ref="J4829:L4829"/>
    <mergeCell ref="A4823:C4823"/>
    <mergeCell ref="D4823:L4823"/>
    <mergeCell ref="A4824:C4824"/>
    <mergeCell ref="D4824:L4824"/>
    <mergeCell ref="A4825:C4825"/>
    <mergeCell ref="D4825:L4825"/>
    <mergeCell ref="A4820:C4820"/>
    <mergeCell ref="D4820:L4820"/>
    <mergeCell ref="A4821:C4821"/>
    <mergeCell ref="D4821:L4821"/>
    <mergeCell ref="A4822:C4822"/>
    <mergeCell ref="D4822:L4822"/>
    <mergeCell ref="B4814:D4814"/>
    <mergeCell ref="F4814:F4815"/>
    <mergeCell ref="G4814:J4814"/>
    <mergeCell ref="G4815:J4815"/>
    <mergeCell ref="A4818:L4818"/>
    <mergeCell ref="A4819:C4819"/>
    <mergeCell ref="D4819:L4819"/>
    <mergeCell ref="B4809:D4809"/>
    <mergeCell ref="G4809:H4809"/>
    <mergeCell ref="K4809:L4809"/>
    <mergeCell ref="B4810:D4810"/>
    <mergeCell ref="B4811:D4811"/>
    <mergeCell ref="B4812:D4812"/>
    <mergeCell ref="B4803:D4803"/>
    <mergeCell ref="F4803:F4804"/>
    <mergeCell ref="G4803:J4803"/>
    <mergeCell ref="G4804:J4804"/>
    <mergeCell ref="A4807:L4807"/>
    <mergeCell ref="C4808:D4808"/>
    <mergeCell ref="J4808:L4808"/>
    <mergeCell ref="B4799:D4799"/>
    <mergeCell ref="G4799:H4799"/>
    <mergeCell ref="K4799:L4799"/>
    <mergeCell ref="B4800:D4800"/>
    <mergeCell ref="B4801:D4801"/>
    <mergeCell ref="B4802:D4802"/>
    <mergeCell ref="B4793:D4793"/>
    <mergeCell ref="F4793:F4794"/>
    <mergeCell ref="G4793:J4793"/>
    <mergeCell ref="G4794:J4794"/>
    <mergeCell ref="A4797:L4797"/>
    <mergeCell ref="C4798:D4798"/>
    <mergeCell ref="J4798:L4798"/>
    <mergeCell ref="B4789:D4789"/>
    <mergeCell ref="G4789:H4789"/>
    <mergeCell ref="K4789:L4789"/>
    <mergeCell ref="B4790:D4790"/>
    <mergeCell ref="B4791:D4791"/>
    <mergeCell ref="B4792:D4792"/>
    <mergeCell ref="C4788:D4788"/>
    <mergeCell ref="J4788:L4788"/>
    <mergeCell ref="A4787:L4787"/>
    <mergeCell ref="B4782:D4782"/>
    <mergeCell ref="B4783:D4783"/>
    <mergeCell ref="F4783:F4784"/>
    <mergeCell ref="G4783:J4783"/>
    <mergeCell ref="G4784:J4784"/>
    <mergeCell ref="B4785:D4785"/>
    <mergeCell ref="A4779:L4779"/>
    <mergeCell ref="C4780:D4780"/>
    <mergeCell ref="J4780:L4780"/>
    <mergeCell ref="B4781:D4781"/>
    <mergeCell ref="G4781:H4781"/>
    <mergeCell ref="K4781:L4781"/>
    <mergeCell ref="B4772:D4772"/>
    <mergeCell ref="B4773:D4773"/>
    <mergeCell ref="B4774:D4774"/>
    <mergeCell ref="F4775:F4776"/>
    <mergeCell ref="G4775:J4775"/>
    <mergeCell ref="G4776:J4776"/>
    <mergeCell ref="A4769:L4769"/>
    <mergeCell ref="C4770:D4770"/>
    <mergeCell ref="J4770:L4770"/>
    <mergeCell ref="B4771:D4771"/>
    <mergeCell ref="G4771:H4771"/>
    <mergeCell ref="K4771:L4771"/>
    <mergeCell ref="A4766:C4766"/>
    <mergeCell ref="D4766:L4766"/>
    <mergeCell ref="A4767:C4767"/>
    <mergeCell ref="D4767:L4767"/>
    <mergeCell ref="A4768:C4768"/>
    <mergeCell ref="D4768:L4768"/>
    <mergeCell ref="A4763:C4763"/>
    <mergeCell ref="D4763:L4763"/>
    <mergeCell ref="A4764:C4764"/>
    <mergeCell ref="D4764:L4764"/>
    <mergeCell ref="A4765:C4765"/>
    <mergeCell ref="D4765:L4765"/>
    <mergeCell ref="A4759:L4759"/>
    <mergeCell ref="A4760:C4760"/>
    <mergeCell ref="D4760:L4760"/>
    <mergeCell ref="A4761:C4761"/>
    <mergeCell ref="D4761:L4761"/>
    <mergeCell ref="A4762:C4762"/>
    <mergeCell ref="D4762:L4762"/>
    <mergeCell ref="B4751:D4751"/>
    <mergeCell ref="B4752:D4752"/>
    <mergeCell ref="B4753:D4753"/>
    <mergeCell ref="B4754:D4754"/>
    <mergeCell ref="F4755:F4756"/>
    <mergeCell ref="G4755:J4755"/>
    <mergeCell ref="G4756:J4756"/>
    <mergeCell ref="B4745:D4745"/>
    <mergeCell ref="B4746:D4746"/>
    <mergeCell ref="B4747:D4747"/>
    <mergeCell ref="B4748:D4748"/>
    <mergeCell ref="B4749:D4749"/>
    <mergeCell ref="B4750:D4750"/>
    <mergeCell ref="B4740:D4740"/>
    <mergeCell ref="G4740:H4740"/>
    <mergeCell ref="K4740:L4740"/>
    <mergeCell ref="B4742:D4742"/>
    <mergeCell ref="B4743:D4743"/>
    <mergeCell ref="B4744:D4744"/>
    <mergeCell ref="B4732:D4732"/>
    <mergeCell ref="F4734:F4735"/>
    <mergeCell ref="G4734:J4734"/>
    <mergeCell ref="G4735:J4735"/>
    <mergeCell ref="A4738:L4738"/>
    <mergeCell ref="C4739:D4739"/>
    <mergeCell ref="J4739:L4739"/>
    <mergeCell ref="A4728:L4728"/>
    <mergeCell ref="J4729:L4729"/>
    <mergeCell ref="B4730:D4730"/>
    <mergeCell ref="G4730:H4730"/>
    <mergeCell ref="K4730:L4730"/>
    <mergeCell ref="B4731:D4731"/>
    <mergeCell ref="B4722:D4722"/>
    <mergeCell ref="G4722:H4722"/>
    <mergeCell ref="K4722:L4722"/>
    <mergeCell ref="B4723:D4723"/>
    <mergeCell ref="F4724:F4725"/>
    <mergeCell ref="G4724:J4724"/>
    <mergeCell ref="G4725:J4725"/>
    <mergeCell ref="B4715:D4715"/>
    <mergeCell ref="F4716:F4717"/>
    <mergeCell ref="G4716:J4716"/>
    <mergeCell ref="G4717:J4717"/>
    <mergeCell ref="A4720:L4720"/>
    <mergeCell ref="C4721:D4721"/>
    <mergeCell ref="J4721:L4721"/>
    <mergeCell ref="G4708:J4708"/>
    <mergeCell ref="G4709:J4709"/>
    <mergeCell ref="A4712:L4712"/>
    <mergeCell ref="C4713:D4713"/>
    <mergeCell ref="J4713:L4713"/>
    <mergeCell ref="B4714:D4714"/>
    <mergeCell ref="G4714:H4714"/>
    <mergeCell ref="K4714:L4714"/>
    <mergeCell ref="B4703:D4703"/>
    <mergeCell ref="B4704:D4704"/>
    <mergeCell ref="B4705:D4705"/>
    <mergeCell ref="B4706:D4706"/>
    <mergeCell ref="B4707:D4707"/>
    <mergeCell ref="F4708:F4709"/>
    <mergeCell ref="A4700:L4700"/>
    <mergeCell ref="C4701:D4701"/>
    <mergeCell ref="J4701:L4701"/>
    <mergeCell ref="B4702:D4702"/>
    <mergeCell ref="G4702:H4702"/>
    <mergeCell ref="K4702:L4702"/>
    <mergeCell ref="A4697:C4697"/>
    <mergeCell ref="D4697:L4697"/>
    <mergeCell ref="A4698:C4698"/>
    <mergeCell ref="D4698:L4698"/>
    <mergeCell ref="A4699:C4699"/>
    <mergeCell ref="D4699:L4699"/>
    <mergeCell ref="A4694:C4694"/>
    <mergeCell ref="D4694:L4694"/>
    <mergeCell ref="A4695:C4695"/>
    <mergeCell ref="D4695:L4695"/>
    <mergeCell ref="A4696:C4696"/>
    <mergeCell ref="D4696:L4696"/>
    <mergeCell ref="A4690:L4690"/>
    <mergeCell ref="A4691:C4691"/>
    <mergeCell ref="D4691:L4691"/>
    <mergeCell ref="A4692:C4692"/>
    <mergeCell ref="D4692:L4692"/>
    <mergeCell ref="A4693:C4693"/>
    <mergeCell ref="D4693:L4693"/>
    <mergeCell ref="B4681:D4681"/>
    <mergeCell ref="B4682:D4682"/>
    <mergeCell ref="B4683:D4683"/>
    <mergeCell ref="B4684:D4684"/>
    <mergeCell ref="F4686:F4687"/>
    <mergeCell ref="G4686:J4686"/>
    <mergeCell ref="G4687:J4687"/>
    <mergeCell ref="G4674:J4674"/>
    <mergeCell ref="G4675:J4675"/>
    <mergeCell ref="A4678:L4678"/>
    <mergeCell ref="C4679:D4679"/>
    <mergeCell ref="J4679:L4679"/>
    <mergeCell ref="B4680:D4680"/>
    <mergeCell ref="G4680:H4680"/>
    <mergeCell ref="K4680:L4680"/>
    <mergeCell ref="B4668:D4668"/>
    <mergeCell ref="B4669:D4669"/>
    <mergeCell ref="B4670:D4670"/>
    <mergeCell ref="B4671:D4671"/>
    <mergeCell ref="B4672:D4672"/>
    <mergeCell ref="F4674:F4675"/>
    <mergeCell ref="A4665:L4665"/>
    <mergeCell ref="C4666:D4666"/>
    <mergeCell ref="J4666:L4666"/>
    <mergeCell ref="B4667:D4667"/>
    <mergeCell ref="G4667:H4667"/>
    <mergeCell ref="K4667:L4667"/>
    <mergeCell ref="A4662:C4662"/>
    <mergeCell ref="D4662:L4662"/>
    <mergeCell ref="A4663:C4663"/>
    <mergeCell ref="D4663:L4663"/>
    <mergeCell ref="A4664:C4664"/>
    <mergeCell ref="D4664:L4664"/>
    <mergeCell ref="A4659:C4659"/>
    <mergeCell ref="D4659:L4659"/>
    <mergeCell ref="A4660:C4660"/>
    <mergeCell ref="D4660:L4660"/>
    <mergeCell ref="A4661:C4661"/>
    <mergeCell ref="D4661:L4661"/>
    <mergeCell ref="A4656:C4656"/>
    <mergeCell ref="D4656:L4656"/>
    <mergeCell ref="A4657:C4657"/>
    <mergeCell ref="D4657:L4657"/>
    <mergeCell ref="A4658:C4658"/>
    <mergeCell ref="D4658:L4658"/>
    <mergeCell ref="B4649:D4649"/>
    <mergeCell ref="B4650:D4650"/>
    <mergeCell ref="F4651:F4652"/>
    <mergeCell ref="G4651:J4651"/>
    <mergeCell ref="G4652:J4652"/>
    <mergeCell ref="A4655:L4655"/>
    <mergeCell ref="B4643:D4643"/>
    <mergeCell ref="B4644:D4644"/>
    <mergeCell ref="B4645:D4645"/>
    <mergeCell ref="B4646:D4646"/>
    <mergeCell ref="B4647:D4647"/>
    <mergeCell ref="B4648:D4648"/>
    <mergeCell ref="A4640:L4640"/>
    <mergeCell ref="C4641:D4641"/>
    <mergeCell ref="J4641:L4641"/>
    <mergeCell ref="B4642:D4642"/>
    <mergeCell ref="G4642:H4642"/>
    <mergeCell ref="K4642:L4642"/>
    <mergeCell ref="A4637:C4637"/>
    <mergeCell ref="D4637:L4637"/>
    <mergeCell ref="A4638:C4638"/>
    <mergeCell ref="D4638:L4638"/>
    <mergeCell ref="A4639:C4639"/>
    <mergeCell ref="D4639:L4639"/>
    <mergeCell ref="A4634:C4634"/>
    <mergeCell ref="D4634:L4634"/>
    <mergeCell ref="A4635:C4635"/>
    <mergeCell ref="D4635:L4635"/>
    <mergeCell ref="A4636:C4636"/>
    <mergeCell ref="D4636:L4636"/>
    <mergeCell ref="A4631:C4631"/>
    <mergeCell ref="D4631:L4631"/>
    <mergeCell ref="A4632:C4632"/>
    <mergeCell ref="D4632:L4632"/>
    <mergeCell ref="A4633:C4633"/>
    <mergeCell ref="D4633:L4633"/>
    <mergeCell ref="B4624:D4624"/>
    <mergeCell ref="H4625:J4625"/>
    <mergeCell ref="F4626:F4627"/>
    <mergeCell ref="G4626:J4626"/>
    <mergeCell ref="G4627:J4627"/>
    <mergeCell ref="A4630:L4630"/>
    <mergeCell ref="B4618:D4618"/>
    <mergeCell ref="B4619:D4619"/>
    <mergeCell ref="B4620:D4620"/>
    <mergeCell ref="B4621:D4621"/>
    <mergeCell ref="B4622:D4622"/>
    <mergeCell ref="H4623:J4623"/>
    <mergeCell ref="B4613:D4613"/>
    <mergeCell ref="A4615:L4615"/>
    <mergeCell ref="C4616:D4616"/>
    <mergeCell ref="J4616:L4616"/>
    <mergeCell ref="B4617:D4617"/>
    <mergeCell ref="G4617:H4617"/>
    <mergeCell ref="K4617:L4617"/>
    <mergeCell ref="B4610:D4610"/>
    <mergeCell ref="I4610:J4610"/>
    <mergeCell ref="B4611:D4611"/>
    <mergeCell ref="I4611:J4611"/>
    <mergeCell ref="B4612:D4612"/>
    <mergeCell ref="I4612:J4612"/>
    <mergeCell ref="B4608:D4608"/>
    <mergeCell ref="G4608:H4608"/>
    <mergeCell ref="I4608:J4608"/>
    <mergeCell ref="K4608:L4608"/>
    <mergeCell ref="B4609:D4609"/>
    <mergeCell ref="I4609:J4609"/>
    <mergeCell ref="B4601:D4601"/>
    <mergeCell ref="F4602:F4603"/>
    <mergeCell ref="G4602:J4602"/>
    <mergeCell ref="G4603:J4603"/>
    <mergeCell ref="A4606:L4606"/>
    <mergeCell ref="C4607:D4607"/>
    <mergeCell ref="J4607:L4607"/>
    <mergeCell ref="B4596:D4596"/>
    <mergeCell ref="B4597:D4597"/>
    <mergeCell ref="B4598:D4598"/>
    <mergeCell ref="B4599:D4599"/>
    <mergeCell ref="B4600:D4600"/>
    <mergeCell ref="C4593:D4593"/>
    <mergeCell ref="J4593:L4593"/>
    <mergeCell ref="B4594:D4594"/>
    <mergeCell ref="G4594:H4594"/>
    <mergeCell ref="K4594:L4594"/>
    <mergeCell ref="B4595:D4595"/>
    <mergeCell ref="B4587:D4587"/>
    <mergeCell ref="B4588:D4588"/>
    <mergeCell ref="B4589:D4589"/>
    <mergeCell ref="A4590:D4591"/>
    <mergeCell ref="E4591:G4591"/>
    <mergeCell ref="A4592:L4592"/>
    <mergeCell ref="B4581:D4581"/>
    <mergeCell ref="B4582:D4582"/>
    <mergeCell ref="B4583:D4583"/>
    <mergeCell ref="B4584:D4584"/>
    <mergeCell ref="B4585:D4585"/>
    <mergeCell ref="B4586:D4586"/>
    <mergeCell ref="A4576:L4576"/>
    <mergeCell ref="C4577:D4577"/>
    <mergeCell ref="J4577:L4577"/>
    <mergeCell ref="B4578:D4578"/>
    <mergeCell ref="B4579:D4579"/>
    <mergeCell ref="B4580:D4580"/>
    <mergeCell ref="B4570:D4570"/>
    <mergeCell ref="B4571:D4571"/>
    <mergeCell ref="F4572:F4573"/>
    <mergeCell ref="G4572:J4572"/>
    <mergeCell ref="G4573:J4573"/>
    <mergeCell ref="C4567:D4567"/>
    <mergeCell ref="J4567:L4567"/>
    <mergeCell ref="B4568:D4568"/>
    <mergeCell ref="G4568:H4568"/>
    <mergeCell ref="K4568:L4568"/>
    <mergeCell ref="B4569:D4569"/>
    <mergeCell ref="B4560:D4560"/>
    <mergeCell ref="B4561:D4561"/>
    <mergeCell ref="F4562:F4563"/>
    <mergeCell ref="G4562:J4562"/>
    <mergeCell ref="G4563:J4563"/>
    <mergeCell ref="A4566:L4566"/>
    <mergeCell ref="B4555:D4555"/>
    <mergeCell ref="G4555:H4555"/>
    <mergeCell ref="K4555:L4555"/>
    <mergeCell ref="B4556:D4556"/>
    <mergeCell ref="B4557:D4557"/>
    <mergeCell ref="B4558:D4558"/>
    <mergeCell ref="B4548:D4548"/>
    <mergeCell ref="F4549:F4550"/>
    <mergeCell ref="G4549:J4549"/>
    <mergeCell ref="G4550:J4550"/>
    <mergeCell ref="A4553:L4553"/>
    <mergeCell ref="C4554:D4554"/>
    <mergeCell ref="J4554:L4554"/>
    <mergeCell ref="A4545:L4545"/>
    <mergeCell ref="C4546:D4546"/>
    <mergeCell ref="J4546:L4546"/>
    <mergeCell ref="B4547:D4547"/>
    <mergeCell ref="G4547:H4547"/>
    <mergeCell ref="K4547:L4547"/>
    <mergeCell ref="B4538:D4538"/>
    <mergeCell ref="G4538:H4538"/>
    <mergeCell ref="K4538:L4538"/>
    <mergeCell ref="B4539:D4539"/>
    <mergeCell ref="B4540:D4540"/>
    <mergeCell ref="F4541:F4542"/>
    <mergeCell ref="G4541:J4541"/>
    <mergeCell ref="G4542:J4542"/>
    <mergeCell ref="B4532:D4532"/>
    <mergeCell ref="I4532:J4532"/>
    <mergeCell ref="A4535:L4535"/>
    <mergeCell ref="A4536:L4536"/>
    <mergeCell ref="C4537:D4537"/>
    <mergeCell ref="J4537:L4537"/>
    <mergeCell ref="B4529:D4529"/>
    <mergeCell ref="I4529:J4529"/>
    <mergeCell ref="B4530:D4530"/>
    <mergeCell ref="I4530:J4530"/>
    <mergeCell ref="B4531:D4531"/>
    <mergeCell ref="I4531:J4531"/>
    <mergeCell ref="B4526:D4526"/>
    <mergeCell ref="I4526:J4526"/>
    <mergeCell ref="B4527:D4527"/>
    <mergeCell ref="I4527:J4527"/>
    <mergeCell ref="B4528:D4528"/>
    <mergeCell ref="I4528:J4528"/>
    <mergeCell ref="B4523:D4523"/>
    <mergeCell ref="I4523:J4523"/>
    <mergeCell ref="B4524:D4524"/>
    <mergeCell ref="I4524:J4524"/>
    <mergeCell ref="B4525:D4525"/>
    <mergeCell ref="I4525:J4525"/>
    <mergeCell ref="B4521:D4521"/>
    <mergeCell ref="I4521:J4521"/>
    <mergeCell ref="K4521:L4521"/>
    <mergeCell ref="B4522:D4522"/>
    <mergeCell ref="I4522:J4522"/>
    <mergeCell ref="B4517:D4517"/>
    <mergeCell ref="I4517:J4517"/>
    <mergeCell ref="B4518:D4518"/>
    <mergeCell ref="E4518:H4518"/>
    <mergeCell ref="A4519:L4519"/>
    <mergeCell ref="C4520:D4520"/>
    <mergeCell ref="J4520:L4520"/>
    <mergeCell ref="A4513:C4513"/>
    <mergeCell ref="D4513:L4513"/>
    <mergeCell ref="A4514:L4514"/>
    <mergeCell ref="C4515:D4515"/>
    <mergeCell ref="J4515:L4515"/>
    <mergeCell ref="B4516:D4516"/>
    <mergeCell ref="I4516:J4516"/>
    <mergeCell ref="K4516:L4516"/>
    <mergeCell ref="A4510:C4510"/>
    <mergeCell ref="D4510:L4510"/>
    <mergeCell ref="A4511:C4511"/>
    <mergeCell ref="D4511:L4511"/>
    <mergeCell ref="A4512:C4512"/>
    <mergeCell ref="D4512:L4512"/>
    <mergeCell ref="A4507:C4507"/>
    <mergeCell ref="D4507:L4507"/>
    <mergeCell ref="A4508:C4508"/>
    <mergeCell ref="D4508:L4508"/>
    <mergeCell ref="A4509:C4509"/>
    <mergeCell ref="D4509:L4509"/>
    <mergeCell ref="B4502:D4502"/>
    <mergeCell ref="A4504:L4504"/>
    <mergeCell ref="A4505:C4505"/>
    <mergeCell ref="D4505:L4505"/>
    <mergeCell ref="A4506:C4506"/>
    <mergeCell ref="D4506:L4506"/>
    <mergeCell ref="B4496:D4496"/>
    <mergeCell ref="B4497:D4497"/>
    <mergeCell ref="B4499:D4499"/>
    <mergeCell ref="G4499:H4499"/>
    <mergeCell ref="F4500:F4501"/>
    <mergeCell ref="G4500:J4500"/>
    <mergeCell ref="G4501:J4501"/>
    <mergeCell ref="A4493:L4493"/>
    <mergeCell ref="C4494:D4494"/>
    <mergeCell ref="J4494:L4494"/>
    <mergeCell ref="B4495:D4495"/>
    <mergeCell ref="G4495:H4495"/>
    <mergeCell ref="K4495:L4495"/>
    <mergeCell ref="A4490:C4490"/>
    <mergeCell ref="D4490:L4490"/>
    <mergeCell ref="A4491:C4491"/>
    <mergeCell ref="D4491:L4491"/>
    <mergeCell ref="A4492:C4492"/>
    <mergeCell ref="D4492:L4492"/>
    <mergeCell ref="A4487:C4487"/>
    <mergeCell ref="D4487:L4487"/>
    <mergeCell ref="A4488:C4488"/>
    <mergeCell ref="D4488:L4488"/>
    <mergeCell ref="A4489:C4489"/>
    <mergeCell ref="D4489:L4489"/>
    <mergeCell ref="A4484:C4484"/>
    <mergeCell ref="D4484:L4484"/>
    <mergeCell ref="A4485:C4485"/>
    <mergeCell ref="D4485:L4485"/>
    <mergeCell ref="A4486:C4486"/>
    <mergeCell ref="D4486:L4486"/>
    <mergeCell ref="K4477:L4477"/>
    <mergeCell ref="B4478:D4478"/>
    <mergeCell ref="F4479:F4480"/>
    <mergeCell ref="G4479:J4479"/>
    <mergeCell ref="G4480:J4480"/>
    <mergeCell ref="A4483:L4483"/>
    <mergeCell ref="A4473:C4473"/>
    <mergeCell ref="D4473:L4473"/>
    <mergeCell ref="A4474:C4474"/>
    <mergeCell ref="D4474:L4474"/>
    <mergeCell ref="A4475:L4475"/>
    <mergeCell ref="J4476:L4476"/>
    <mergeCell ref="A4470:C4470"/>
    <mergeCell ref="D4470:L4470"/>
    <mergeCell ref="A4471:C4471"/>
    <mergeCell ref="D4471:L4471"/>
    <mergeCell ref="A4472:C4472"/>
    <mergeCell ref="D4472:L4472"/>
    <mergeCell ref="A4467:C4467"/>
    <mergeCell ref="D4467:L4467"/>
    <mergeCell ref="A4468:C4468"/>
    <mergeCell ref="D4468:L4468"/>
    <mergeCell ref="A4469:C4469"/>
    <mergeCell ref="D4469:L4469"/>
    <mergeCell ref="B4460:D4460"/>
    <mergeCell ref="F4461:F4462"/>
    <mergeCell ref="G4461:J4461"/>
    <mergeCell ref="G4462:J4462"/>
    <mergeCell ref="A4465:L4465"/>
    <mergeCell ref="A4466:C4466"/>
    <mergeCell ref="D4466:L4466"/>
    <mergeCell ref="A4457:L4457"/>
    <mergeCell ref="C4458:D4458"/>
    <mergeCell ref="J4458:L4458"/>
    <mergeCell ref="B4459:D4459"/>
    <mergeCell ref="G4459:H4459"/>
    <mergeCell ref="K4459:L4459"/>
    <mergeCell ref="A4454:C4454"/>
    <mergeCell ref="D4454:L4454"/>
    <mergeCell ref="A4455:C4455"/>
    <mergeCell ref="D4455:L4455"/>
    <mergeCell ref="A4456:C4456"/>
    <mergeCell ref="D4456:L4456"/>
    <mergeCell ref="A4451:C4451"/>
    <mergeCell ref="D4451:L4451"/>
    <mergeCell ref="A4452:C4452"/>
    <mergeCell ref="D4452:L4452"/>
    <mergeCell ref="A4453:C4453"/>
    <mergeCell ref="D4453:L4453"/>
    <mergeCell ref="A4447:L4447"/>
    <mergeCell ref="A4448:C4448"/>
    <mergeCell ref="D4448:L4448"/>
    <mergeCell ref="A4449:C4449"/>
    <mergeCell ref="D4449:L4449"/>
    <mergeCell ref="A4450:C4450"/>
    <mergeCell ref="D4450:L4450"/>
    <mergeCell ref="B4440:D4440"/>
    <mergeCell ref="B4441:D4441"/>
    <mergeCell ref="B4442:D4442"/>
    <mergeCell ref="F4443:F4444"/>
    <mergeCell ref="G4443:J4443"/>
    <mergeCell ref="G4444:J4444"/>
    <mergeCell ref="C4437:D4437"/>
    <mergeCell ref="J4437:L4437"/>
    <mergeCell ref="B4438:D4438"/>
    <mergeCell ref="G4438:H4438"/>
    <mergeCell ref="K4438:L4438"/>
    <mergeCell ref="B4439:D4439"/>
    <mergeCell ref="B4429:D4429"/>
    <mergeCell ref="B4431:D4431"/>
    <mergeCell ref="F4432:F4433"/>
    <mergeCell ref="G4432:J4432"/>
    <mergeCell ref="G4433:J4433"/>
    <mergeCell ref="A4436:L4436"/>
    <mergeCell ref="A4425:L4425"/>
    <mergeCell ref="C4426:D4426"/>
    <mergeCell ref="J4426:L4426"/>
    <mergeCell ref="B4427:D4427"/>
    <mergeCell ref="G4427:H4427"/>
    <mergeCell ref="K4427:L4427"/>
    <mergeCell ref="A4422:C4422"/>
    <mergeCell ref="D4422:L4422"/>
    <mergeCell ref="A4423:C4423"/>
    <mergeCell ref="D4423:L4423"/>
    <mergeCell ref="A4424:C4424"/>
    <mergeCell ref="D4424:L4424"/>
    <mergeCell ref="A4419:C4419"/>
    <mergeCell ref="D4419:L4419"/>
    <mergeCell ref="A4420:C4420"/>
    <mergeCell ref="D4420:L4420"/>
    <mergeCell ref="A4421:C4421"/>
    <mergeCell ref="D4421:L4421"/>
    <mergeCell ref="A4416:C4416"/>
    <mergeCell ref="D4416:L4416"/>
    <mergeCell ref="A4417:C4417"/>
    <mergeCell ref="D4417:L4417"/>
    <mergeCell ref="A4418:C4418"/>
    <mergeCell ref="D4418:L4418"/>
    <mergeCell ref="B4406:D4406"/>
    <mergeCell ref="B4410:D4410"/>
    <mergeCell ref="F4411:F4412"/>
    <mergeCell ref="G4411:J4411"/>
    <mergeCell ref="G4412:J4412"/>
    <mergeCell ref="A4415:L4415"/>
    <mergeCell ref="A4402:L4402"/>
    <mergeCell ref="C4403:D4403"/>
    <mergeCell ref="J4403:L4403"/>
    <mergeCell ref="B4404:D4404"/>
    <mergeCell ref="G4404:H4404"/>
    <mergeCell ref="K4404:L4404"/>
    <mergeCell ref="B4395:D4395"/>
    <mergeCell ref="G4395:H4395"/>
    <mergeCell ref="K4395:L4395"/>
    <mergeCell ref="B4396:D4396"/>
    <mergeCell ref="B4397:D4397"/>
    <mergeCell ref="F4398:F4399"/>
    <mergeCell ref="G4398:J4398"/>
    <mergeCell ref="G4399:J4399"/>
    <mergeCell ref="A4391:C4391"/>
    <mergeCell ref="D4391:L4391"/>
    <mergeCell ref="A4392:C4392"/>
    <mergeCell ref="D4392:L4392"/>
    <mergeCell ref="A4393:L4393"/>
    <mergeCell ref="C4394:D4394"/>
    <mergeCell ref="J4394:L4394"/>
    <mergeCell ref="A4388:C4388"/>
    <mergeCell ref="D4388:L4388"/>
    <mergeCell ref="A4389:C4389"/>
    <mergeCell ref="D4389:L4389"/>
    <mergeCell ref="A4390:C4390"/>
    <mergeCell ref="D4390:L4390"/>
    <mergeCell ref="A4385:C4385"/>
    <mergeCell ref="D4385:L4385"/>
    <mergeCell ref="A4386:C4386"/>
    <mergeCell ref="D4386:L4386"/>
    <mergeCell ref="A4387:C4387"/>
    <mergeCell ref="D4387:L4387"/>
    <mergeCell ref="B4378:D4378"/>
    <mergeCell ref="F4379:F4380"/>
    <mergeCell ref="G4379:J4379"/>
    <mergeCell ref="G4380:J4380"/>
    <mergeCell ref="A4383:L4383"/>
    <mergeCell ref="A4384:C4384"/>
    <mergeCell ref="D4384:L4384"/>
    <mergeCell ref="B4374:D4374"/>
    <mergeCell ref="A4375:L4375"/>
    <mergeCell ref="C4376:D4376"/>
    <mergeCell ref="J4376:L4376"/>
    <mergeCell ref="B4377:D4377"/>
    <mergeCell ref="G4377:H4377"/>
    <mergeCell ref="K4377:L4377"/>
    <mergeCell ref="B4371:D4371"/>
    <mergeCell ref="I4371:J4371"/>
    <mergeCell ref="B4372:D4372"/>
    <mergeCell ref="I4372:J4372"/>
    <mergeCell ref="B4373:D4373"/>
    <mergeCell ref="I4373:J4373"/>
    <mergeCell ref="A4368:L4368"/>
    <mergeCell ref="C4369:D4369"/>
    <mergeCell ref="J4369:L4369"/>
    <mergeCell ref="B4370:D4370"/>
    <mergeCell ref="G4370:H4370"/>
    <mergeCell ref="I4370:J4370"/>
    <mergeCell ref="K4370:L4370"/>
    <mergeCell ref="A4363:D4364"/>
    <mergeCell ref="B4365:D4365"/>
    <mergeCell ref="I4365:J4365"/>
    <mergeCell ref="B4366:D4366"/>
    <mergeCell ref="I4366:J4366"/>
    <mergeCell ref="A4367:D4367"/>
    <mergeCell ref="B4360:D4360"/>
    <mergeCell ref="I4360:J4360"/>
    <mergeCell ref="B4361:D4361"/>
    <mergeCell ref="I4361:J4361"/>
    <mergeCell ref="B4362:D4362"/>
    <mergeCell ref="I4362:J4362"/>
    <mergeCell ref="B4355:D4355"/>
    <mergeCell ref="I4355:J4355"/>
    <mergeCell ref="B4356:D4356"/>
    <mergeCell ref="I4356:J4356"/>
    <mergeCell ref="B4358:D4358"/>
    <mergeCell ref="B4359:D4359"/>
    <mergeCell ref="I4359:J4359"/>
    <mergeCell ref="B4351:D4351"/>
    <mergeCell ref="B4352:D4352"/>
    <mergeCell ref="I4352:J4352"/>
    <mergeCell ref="B4353:D4353"/>
    <mergeCell ref="I4353:J4353"/>
    <mergeCell ref="B4354:D4354"/>
    <mergeCell ref="I4354:J4354"/>
    <mergeCell ref="B4347:D4347"/>
    <mergeCell ref="A4348:L4348"/>
    <mergeCell ref="C4349:D4349"/>
    <mergeCell ref="J4349:L4349"/>
    <mergeCell ref="B4350:D4350"/>
    <mergeCell ref="G4350:H4350"/>
    <mergeCell ref="I4350:J4350"/>
    <mergeCell ref="K4350:L4350"/>
    <mergeCell ref="B4344:D4344"/>
    <mergeCell ref="I4344:J4344"/>
    <mergeCell ref="B4345:D4345"/>
    <mergeCell ref="I4345:J4345"/>
    <mergeCell ref="B4346:D4346"/>
    <mergeCell ref="I4346:J4346"/>
    <mergeCell ref="A4341:L4341"/>
    <mergeCell ref="C4342:D4342"/>
    <mergeCell ref="J4342:L4342"/>
    <mergeCell ref="B4343:D4343"/>
    <mergeCell ref="G4343:H4343"/>
    <mergeCell ref="I4343:J4343"/>
    <mergeCell ref="K4343:L4343"/>
    <mergeCell ref="B4334:D4334"/>
    <mergeCell ref="B4335:D4335"/>
    <mergeCell ref="B4336:D4336"/>
    <mergeCell ref="F4337:F4338"/>
    <mergeCell ref="G4337:J4337"/>
    <mergeCell ref="G4338:J4338"/>
    <mergeCell ref="C4331:D4331"/>
    <mergeCell ref="J4331:L4331"/>
    <mergeCell ref="B4332:D4332"/>
    <mergeCell ref="G4332:H4332"/>
    <mergeCell ref="K4332:L4332"/>
    <mergeCell ref="B4333:D4333"/>
    <mergeCell ref="B4323:D4323"/>
    <mergeCell ref="B4324:D4324"/>
    <mergeCell ref="F4326:F4327"/>
    <mergeCell ref="G4326:J4326"/>
    <mergeCell ref="G4327:J4327"/>
    <mergeCell ref="A4330:L4330"/>
    <mergeCell ref="A4320:L4320"/>
    <mergeCell ref="C4321:D4321"/>
    <mergeCell ref="J4321:L4321"/>
    <mergeCell ref="B4322:D4322"/>
    <mergeCell ref="G4322:H4322"/>
    <mergeCell ref="K4322:L4322"/>
    <mergeCell ref="B4317:D4317"/>
    <mergeCell ref="I4317:J4317"/>
    <mergeCell ref="B4318:D4318"/>
    <mergeCell ref="I4318:J4318"/>
    <mergeCell ref="B4319:D4319"/>
    <mergeCell ref="B4315:D4315"/>
    <mergeCell ref="G4315:H4315"/>
    <mergeCell ref="I4315:J4315"/>
    <mergeCell ref="K4315:L4315"/>
    <mergeCell ref="B4316:D4316"/>
    <mergeCell ref="I4316:J4316"/>
    <mergeCell ref="B4308:D4308"/>
    <mergeCell ref="F4309:F4310"/>
    <mergeCell ref="G4309:J4309"/>
    <mergeCell ref="G4310:J4310"/>
    <mergeCell ref="A4313:L4313"/>
    <mergeCell ref="C4314:D4314"/>
    <mergeCell ref="J4314:L4314"/>
    <mergeCell ref="B4303:D4303"/>
    <mergeCell ref="G4303:H4303"/>
    <mergeCell ref="K4303:L4303"/>
    <mergeCell ref="B4304:D4304"/>
    <mergeCell ref="B4305:D4305"/>
    <mergeCell ref="B4307:D4307"/>
    <mergeCell ref="B4299:D4299"/>
    <mergeCell ref="I4299:J4299"/>
    <mergeCell ref="B4300:D4300"/>
    <mergeCell ref="A4301:L4301"/>
    <mergeCell ref="C4302:D4302"/>
    <mergeCell ref="J4302:L4302"/>
    <mergeCell ref="B4296:D4296"/>
    <mergeCell ref="I4296:J4296"/>
    <mergeCell ref="B4297:D4297"/>
    <mergeCell ref="I4297:J4297"/>
    <mergeCell ref="B4298:D4298"/>
    <mergeCell ref="I4298:J4298"/>
    <mergeCell ref="C4294:D4294"/>
    <mergeCell ref="J4294:L4294"/>
    <mergeCell ref="B4295:D4295"/>
    <mergeCell ref="G4295:H4295"/>
    <mergeCell ref="I4295:J4295"/>
    <mergeCell ref="K4295:L4295"/>
    <mergeCell ref="B4289:D4289"/>
    <mergeCell ref="I4289:J4289"/>
    <mergeCell ref="B4290:D4290"/>
    <mergeCell ref="I4290:J4290"/>
    <mergeCell ref="B4292:D4292"/>
    <mergeCell ref="A4293:L4293"/>
    <mergeCell ref="B4287:D4287"/>
    <mergeCell ref="G4287:H4287"/>
    <mergeCell ref="I4287:J4287"/>
    <mergeCell ref="K4287:L4287"/>
    <mergeCell ref="B4288:D4288"/>
    <mergeCell ref="I4288:J4288"/>
    <mergeCell ref="A4283:C4283"/>
    <mergeCell ref="D4283:L4283"/>
    <mergeCell ref="A4284:C4284"/>
    <mergeCell ref="D4284:L4284"/>
    <mergeCell ref="A4285:L4285"/>
    <mergeCell ref="C4286:D4286"/>
    <mergeCell ref="J4286:L4286"/>
    <mergeCell ref="A4280:C4280"/>
    <mergeCell ref="D4280:L4280"/>
    <mergeCell ref="A4281:C4281"/>
    <mergeCell ref="D4281:L4281"/>
    <mergeCell ref="A4282:C4282"/>
    <mergeCell ref="D4282:L4282"/>
    <mergeCell ref="A4277:C4277"/>
    <mergeCell ref="D4277:L4277"/>
    <mergeCell ref="A4278:C4278"/>
    <mergeCell ref="D4278:L4278"/>
    <mergeCell ref="A4279:C4279"/>
    <mergeCell ref="D4279:L4279"/>
    <mergeCell ref="G4270:H4270"/>
    <mergeCell ref="F4271:F4272"/>
    <mergeCell ref="G4271:J4271"/>
    <mergeCell ref="G4272:J4272"/>
    <mergeCell ref="A4275:L4275"/>
    <mergeCell ref="A4276:C4276"/>
    <mergeCell ref="D4276:L4276"/>
    <mergeCell ref="A4264:L4264"/>
    <mergeCell ref="C4265:D4265"/>
    <mergeCell ref="J4265:L4265"/>
    <mergeCell ref="B4266:D4266"/>
    <mergeCell ref="G4266:H4266"/>
    <mergeCell ref="K4266:L4266"/>
    <mergeCell ref="B4258:D4258"/>
    <mergeCell ref="B4259:F4259"/>
    <mergeCell ref="F4260:F4261"/>
    <mergeCell ref="G4260:J4260"/>
    <mergeCell ref="G4261:J4261"/>
    <mergeCell ref="C4255:D4255"/>
    <mergeCell ref="J4255:L4255"/>
    <mergeCell ref="B4256:D4256"/>
    <mergeCell ref="G4256:H4256"/>
    <mergeCell ref="K4256:L4256"/>
    <mergeCell ref="B4257:D4257"/>
    <mergeCell ref="B4250:D4250"/>
    <mergeCell ref="I4250:J4250"/>
    <mergeCell ref="B4251:D4251"/>
    <mergeCell ref="I4251:J4251"/>
    <mergeCell ref="B4252:D4252"/>
    <mergeCell ref="A4254:L4254"/>
    <mergeCell ref="A4247:L4247"/>
    <mergeCell ref="C4248:D4248"/>
    <mergeCell ref="J4248:L4248"/>
    <mergeCell ref="B4249:D4249"/>
    <mergeCell ref="G4249:H4249"/>
    <mergeCell ref="I4249:J4249"/>
    <mergeCell ref="K4249:L4249"/>
    <mergeCell ref="A4244:C4244"/>
    <mergeCell ref="D4244:L4244"/>
    <mergeCell ref="A4245:C4245"/>
    <mergeCell ref="D4245:L4245"/>
    <mergeCell ref="A4246:C4246"/>
    <mergeCell ref="D4246:L4246"/>
    <mergeCell ref="A4241:C4241"/>
    <mergeCell ref="D4241:L4241"/>
    <mergeCell ref="A4242:C4242"/>
    <mergeCell ref="D4242:L4242"/>
    <mergeCell ref="A4243:C4243"/>
    <mergeCell ref="D4243:L4243"/>
    <mergeCell ref="A4238:C4238"/>
    <mergeCell ref="D4238:L4238"/>
    <mergeCell ref="A4239:C4239"/>
    <mergeCell ref="D4239:L4239"/>
    <mergeCell ref="A4240:C4240"/>
    <mergeCell ref="D4240:L4240"/>
    <mergeCell ref="B4232:D4232"/>
    <mergeCell ref="F4233:F4234"/>
    <mergeCell ref="G4233:J4233"/>
    <mergeCell ref="G4234:J4234"/>
    <mergeCell ref="B4235:D4235"/>
    <mergeCell ref="A4237:L4237"/>
    <mergeCell ref="A4229:L4229"/>
    <mergeCell ref="C4230:D4230"/>
    <mergeCell ref="J4230:L4230"/>
    <mergeCell ref="B4231:D4231"/>
    <mergeCell ref="G4231:H4231"/>
    <mergeCell ref="K4231:L4231"/>
    <mergeCell ref="B4223:D4223"/>
    <mergeCell ref="K4223:L4223"/>
    <mergeCell ref="B4224:D4224"/>
    <mergeCell ref="B4225:D4225"/>
    <mergeCell ref="E4225:H4225"/>
    <mergeCell ref="A4226:L4228"/>
    <mergeCell ref="B4219:D4219"/>
    <mergeCell ref="E4219:H4219"/>
    <mergeCell ref="A4220:L4220"/>
    <mergeCell ref="A4221:L4221"/>
    <mergeCell ref="C4222:D4222"/>
    <mergeCell ref="G4222:H4222"/>
    <mergeCell ref="J4222:L4222"/>
    <mergeCell ref="C4216:D4216"/>
    <mergeCell ref="G4216:H4216"/>
    <mergeCell ref="J4216:L4216"/>
    <mergeCell ref="B4217:D4217"/>
    <mergeCell ref="K4217:L4217"/>
    <mergeCell ref="B4218:D4218"/>
    <mergeCell ref="B4209:D4209"/>
    <mergeCell ref="B4210:D4210"/>
    <mergeCell ref="F4211:F4212"/>
    <mergeCell ref="G4211:J4211"/>
    <mergeCell ref="G4212:J4212"/>
    <mergeCell ref="A4215:L4215"/>
    <mergeCell ref="B4203:D4203"/>
    <mergeCell ref="B4204:D4204"/>
    <mergeCell ref="B4205:D4205"/>
    <mergeCell ref="B4206:D4206"/>
    <mergeCell ref="B4207:D4207"/>
    <mergeCell ref="B4208:D4208"/>
    <mergeCell ref="A4200:L4200"/>
    <mergeCell ref="C4201:D4201"/>
    <mergeCell ref="J4201:L4201"/>
    <mergeCell ref="B4202:D4202"/>
    <mergeCell ref="G4202:H4202"/>
    <mergeCell ref="K4202:L4202"/>
    <mergeCell ref="B4194:D4194"/>
    <mergeCell ref="B4195:D4195"/>
    <mergeCell ref="B4196:D4196"/>
    <mergeCell ref="F4196:F4197"/>
    <mergeCell ref="G4196:J4196"/>
    <mergeCell ref="G4197:J4197"/>
    <mergeCell ref="A4191:L4191"/>
    <mergeCell ref="C4192:D4192"/>
    <mergeCell ref="J4192:L4192"/>
    <mergeCell ref="B4193:D4193"/>
    <mergeCell ref="G4193:H4193"/>
    <mergeCell ref="K4193:L4193"/>
    <mergeCell ref="A4188:C4188"/>
    <mergeCell ref="D4188:L4188"/>
    <mergeCell ref="A4189:C4189"/>
    <mergeCell ref="D4189:L4189"/>
    <mergeCell ref="A4190:C4190"/>
    <mergeCell ref="D4190:L4190"/>
    <mergeCell ref="A4185:C4185"/>
    <mergeCell ref="D4185:L4185"/>
    <mergeCell ref="A4186:C4186"/>
    <mergeCell ref="D4186:L4186"/>
    <mergeCell ref="A4187:C4187"/>
    <mergeCell ref="D4187:L4187"/>
    <mergeCell ref="A4181:L4181"/>
    <mergeCell ref="A4182:C4182"/>
    <mergeCell ref="D4182:L4182"/>
    <mergeCell ref="A4183:C4183"/>
    <mergeCell ref="D4183:L4183"/>
    <mergeCell ref="A4184:C4184"/>
    <mergeCell ref="D4184:L4184"/>
    <mergeCell ref="B4172:D4172"/>
    <mergeCell ref="G4173:H4173"/>
    <mergeCell ref="B4174:D4174"/>
    <mergeCell ref="B4175:D4175"/>
    <mergeCell ref="B4176:D4176"/>
    <mergeCell ref="F4177:F4178"/>
    <mergeCell ref="G4177:J4177"/>
    <mergeCell ref="G4178:J4178"/>
    <mergeCell ref="C4169:D4169"/>
    <mergeCell ref="J4169:L4169"/>
    <mergeCell ref="B4170:D4170"/>
    <mergeCell ref="G4170:H4170"/>
    <mergeCell ref="K4170:L4170"/>
    <mergeCell ref="B4171:D4171"/>
    <mergeCell ref="B4164:D4164"/>
    <mergeCell ref="I4164:J4164"/>
    <mergeCell ref="B4165:D4165"/>
    <mergeCell ref="I4165:J4165"/>
    <mergeCell ref="B4167:D4167"/>
    <mergeCell ref="A4168:L4168"/>
    <mergeCell ref="B4162:D4162"/>
    <mergeCell ref="G4162:H4162"/>
    <mergeCell ref="I4162:J4162"/>
    <mergeCell ref="K4162:L4162"/>
    <mergeCell ref="B4163:D4163"/>
    <mergeCell ref="I4163:J4163"/>
    <mergeCell ref="B4155:D4155"/>
    <mergeCell ref="F4156:F4157"/>
    <mergeCell ref="G4156:J4156"/>
    <mergeCell ref="G4157:J4157"/>
    <mergeCell ref="A4160:L4160"/>
    <mergeCell ref="C4161:D4161"/>
    <mergeCell ref="J4161:L4161"/>
    <mergeCell ref="A4150:L4150"/>
    <mergeCell ref="C4151:D4151"/>
    <mergeCell ref="J4151:L4151"/>
    <mergeCell ref="B4152:D4152"/>
    <mergeCell ref="G4152:H4152"/>
    <mergeCell ref="K4152:L4152"/>
    <mergeCell ref="B4141:D4141"/>
    <mergeCell ref="G4141:H4141"/>
    <mergeCell ref="K4141:L4141"/>
    <mergeCell ref="B4145:D4145"/>
    <mergeCell ref="F4146:F4147"/>
    <mergeCell ref="G4146:J4146"/>
    <mergeCell ref="G4147:J4147"/>
    <mergeCell ref="B4134:D4134"/>
    <mergeCell ref="F4135:F4136"/>
    <mergeCell ref="G4135:J4135"/>
    <mergeCell ref="G4136:J4136"/>
    <mergeCell ref="A4139:L4139"/>
    <mergeCell ref="C4140:D4140"/>
    <mergeCell ref="J4140:L4140"/>
    <mergeCell ref="A4131:L4131"/>
    <mergeCell ref="C4132:D4132"/>
    <mergeCell ref="J4132:L4132"/>
    <mergeCell ref="B4133:D4133"/>
    <mergeCell ref="G4133:H4133"/>
    <mergeCell ref="K4133:L4133"/>
    <mergeCell ref="B4125:D4125"/>
    <mergeCell ref="G4125:H4125"/>
    <mergeCell ref="K4125:L4125"/>
    <mergeCell ref="B4126:D4126"/>
    <mergeCell ref="F4127:F4128"/>
    <mergeCell ref="G4127:J4127"/>
    <mergeCell ref="G4128:J4128"/>
    <mergeCell ref="A4121:C4121"/>
    <mergeCell ref="D4121:L4121"/>
    <mergeCell ref="A4122:C4122"/>
    <mergeCell ref="D4122:L4122"/>
    <mergeCell ref="A4123:L4123"/>
    <mergeCell ref="C4124:D4124"/>
    <mergeCell ref="J4124:L4124"/>
    <mergeCell ref="A4118:C4118"/>
    <mergeCell ref="D4118:L4118"/>
    <mergeCell ref="A4119:C4119"/>
    <mergeCell ref="D4119:L4119"/>
    <mergeCell ref="A4120:C4120"/>
    <mergeCell ref="D4120:L4120"/>
    <mergeCell ref="A4115:C4115"/>
    <mergeCell ref="D4115:L4115"/>
    <mergeCell ref="A4116:C4116"/>
    <mergeCell ref="D4116:L4116"/>
    <mergeCell ref="A4117:C4117"/>
    <mergeCell ref="D4117:L4117"/>
    <mergeCell ref="B4108:D4108"/>
    <mergeCell ref="F4109:F4110"/>
    <mergeCell ref="G4109:J4109"/>
    <mergeCell ref="G4110:J4110"/>
    <mergeCell ref="A4113:L4113"/>
    <mergeCell ref="A4114:C4114"/>
    <mergeCell ref="D4114:L4114"/>
    <mergeCell ref="A4105:L4105"/>
    <mergeCell ref="C4106:D4106"/>
    <mergeCell ref="J4106:L4106"/>
    <mergeCell ref="B4107:D4107"/>
    <mergeCell ref="G4107:H4107"/>
    <mergeCell ref="K4107:L4107"/>
    <mergeCell ref="B4098:D4098"/>
    <mergeCell ref="B4099:D4099"/>
    <mergeCell ref="B4100:D4100"/>
    <mergeCell ref="F4101:F4102"/>
    <mergeCell ref="G4101:J4101"/>
    <mergeCell ref="G4102:J4102"/>
    <mergeCell ref="A4094:L4094"/>
    <mergeCell ref="C4095:D4095"/>
    <mergeCell ref="J4095:L4095"/>
    <mergeCell ref="B4096:D4096"/>
    <mergeCell ref="G4096:H4096"/>
    <mergeCell ref="K4096:L4096"/>
    <mergeCell ref="A4091:C4091"/>
    <mergeCell ref="D4091:L4091"/>
    <mergeCell ref="A4092:C4092"/>
    <mergeCell ref="D4092:L4092"/>
    <mergeCell ref="A4093:C4093"/>
    <mergeCell ref="D4093:L4093"/>
    <mergeCell ref="A4088:C4088"/>
    <mergeCell ref="D4088:L4088"/>
    <mergeCell ref="A4089:C4089"/>
    <mergeCell ref="D4089:L4089"/>
    <mergeCell ref="A4090:C4090"/>
    <mergeCell ref="D4090:L4090"/>
    <mergeCell ref="A4084:L4084"/>
    <mergeCell ref="A4085:C4085"/>
    <mergeCell ref="D4085:L4085"/>
    <mergeCell ref="A4086:C4086"/>
    <mergeCell ref="D4086:L4086"/>
    <mergeCell ref="A4087:C4087"/>
    <mergeCell ref="D4087:L4087"/>
    <mergeCell ref="B4077:D4077"/>
    <mergeCell ref="B4078:D4078"/>
    <mergeCell ref="B4079:D4079"/>
    <mergeCell ref="F4080:F4081"/>
    <mergeCell ref="G4080:J4080"/>
    <mergeCell ref="G4081:J4081"/>
    <mergeCell ref="A4074:L4074"/>
    <mergeCell ref="C4075:D4075"/>
    <mergeCell ref="J4075:L4075"/>
    <mergeCell ref="B4076:D4076"/>
    <mergeCell ref="G4076:H4076"/>
    <mergeCell ref="K4076:L4076"/>
    <mergeCell ref="B4067:D4067"/>
    <mergeCell ref="B4068:D4068"/>
    <mergeCell ref="B4069:D4069"/>
    <mergeCell ref="F4070:F4071"/>
    <mergeCell ref="G4070:J4070"/>
    <mergeCell ref="G4071:J4071"/>
    <mergeCell ref="A4064:L4064"/>
    <mergeCell ref="C4065:D4065"/>
    <mergeCell ref="J4065:L4065"/>
    <mergeCell ref="B4066:D4066"/>
    <mergeCell ref="G4066:H4066"/>
    <mergeCell ref="K4066:L4066"/>
    <mergeCell ref="B4058:D4058"/>
    <mergeCell ref="G4058:H4058"/>
    <mergeCell ref="K4058:L4058"/>
    <mergeCell ref="B4059:D4059"/>
    <mergeCell ref="F4060:F4061"/>
    <mergeCell ref="G4060:J4060"/>
    <mergeCell ref="G4061:J4061"/>
    <mergeCell ref="F4052:F4053"/>
    <mergeCell ref="G4052:J4052"/>
    <mergeCell ref="G4053:J4053"/>
    <mergeCell ref="A4056:L4056"/>
    <mergeCell ref="C4057:D4057"/>
    <mergeCell ref="J4057:L4057"/>
    <mergeCell ref="B4047:D4047"/>
    <mergeCell ref="B4048:D4048"/>
    <mergeCell ref="B4051:D4051"/>
    <mergeCell ref="B4042:D4042"/>
    <mergeCell ref="A4043:L4043"/>
    <mergeCell ref="C4044:D4044"/>
    <mergeCell ref="J4044:L4044"/>
    <mergeCell ref="B4045:D4045"/>
    <mergeCell ref="G4045:H4045"/>
    <mergeCell ref="K4045:L4045"/>
    <mergeCell ref="B4038:D4038"/>
    <mergeCell ref="I4038:J4038"/>
    <mergeCell ref="B4039:D4039"/>
    <mergeCell ref="I4039:J4039"/>
    <mergeCell ref="B4040:D4040"/>
    <mergeCell ref="I4040:J4040"/>
    <mergeCell ref="B4034:D4034"/>
    <mergeCell ref="I4034:J4034"/>
    <mergeCell ref="B4035:D4035"/>
    <mergeCell ref="B4036:D4036"/>
    <mergeCell ref="I4036:J4036"/>
    <mergeCell ref="B4037:D4037"/>
    <mergeCell ref="I4037:J4037"/>
    <mergeCell ref="B4031:D4031"/>
    <mergeCell ref="I4031:J4031"/>
    <mergeCell ref="B4032:D4032"/>
    <mergeCell ref="I4032:J4032"/>
    <mergeCell ref="B4033:D4033"/>
    <mergeCell ref="I4033:J4033"/>
    <mergeCell ref="B4028:D4028"/>
    <mergeCell ref="I4028:J4028"/>
    <mergeCell ref="B4029:D4029"/>
    <mergeCell ref="I4029:J4029"/>
    <mergeCell ref="B4030:D4030"/>
    <mergeCell ref="I4030:J4030"/>
    <mergeCell ref="B4025:D4025"/>
    <mergeCell ref="G4025:H4025"/>
    <mergeCell ref="I4025:J4025"/>
    <mergeCell ref="K4025:L4025"/>
    <mergeCell ref="B4026:D4026"/>
    <mergeCell ref="B4027:D4027"/>
    <mergeCell ref="I4027:J4027"/>
    <mergeCell ref="A4021:C4021"/>
    <mergeCell ref="D4021:L4021"/>
    <mergeCell ref="A4022:C4022"/>
    <mergeCell ref="D4022:L4022"/>
    <mergeCell ref="A4023:L4023"/>
    <mergeCell ref="C4024:D4024"/>
    <mergeCell ref="J4024:L4024"/>
    <mergeCell ref="A4018:C4018"/>
    <mergeCell ref="D4018:L4018"/>
    <mergeCell ref="A4019:C4019"/>
    <mergeCell ref="D4019:L4019"/>
    <mergeCell ref="A4020:C4020"/>
    <mergeCell ref="D4020:L4020"/>
    <mergeCell ref="A4015:C4015"/>
    <mergeCell ref="D4015:L4015"/>
    <mergeCell ref="A4016:C4016"/>
    <mergeCell ref="D4016:L4016"/>
    <mergeCell ref="A4017:C4017"/>
    <mergeCell ref="D4017:L4017"/>
    <mergeCell ref="B4010:D4010"/>
    <mergeCell ref="B4011:D4011"/>
    <mergeCell ref="H4011:I4011"/>
    <mergeCell ref="B4012:D4012"/>
    <mergeCell ref="A4013:L4013"/>
    <mergeCell ref="A4014:C4014"/>
    <mergeCell ref="D4014:L4014"/>
    <mergeCell ref="B4005:D4005"/>
    <mergeCell ref="B4006:D4006"/>
    <mergeCell ref="B4007:D4007"/>
    <mergeCell ref="F4008:F4009"/>
    <mergeCell ref="G4008:J4008"/>
    <mergeCell ref="G4009:J4009"/>
    <mergeCell ref="B4002:D4002"/>
    <mergeCell ref="G4002:H4002"/>
    <mergeCell ref="K4002:L4002"/>
    <mergeCell ref="B4003:D4003"/>
    <mergeCell ref="H4003:I4003"/>
    <mergeCell ref="B4004:D4004"/>
    <mergeCell ref="G3996:J3996"/>
    <mergeCell ref="G3997:J3997"/>
    <mergeCell ref="A3999:D3999"/>
    <mergeCell ref="A4000:L4000"/>
    <mergeCell ref="C4001:D4001"/>
    <mergeCell ref="J4001:L4001"/>
    <mergeCell ref="B3990:D3990"/>
    <mergeCell ref="B3991:D3991"/>
    <mergeCell ref="B3992:D3992"/>
    <mergeCell ref="B3993:D3993"/>
    <mergeCell ref="B3994:D3994"/>
    <mergeCell ref="F3996:F3997"/>
    <mergeCell ref="B3986:D3986"/>
    <mergeCell ref="A3987:L3987"/>
    <mergeCell ref="C3988:D3988"/>
    <mergeCell ref="J3988:L3988"/>
    <mergeCell ref="B3989:D3989"/>
    <mergeCell ref="G3989:H3989"/>
    <mergeCell ref="K3989:L3989"/>
    <mergeCell ref="B3983:D3983"/>
    <mergeCell ref="I3983:J3983"/>
    <mergeCell ref="B3984:D3984"/>
    <mergeCell ref="I3984:J3984"/>
    <mergeCell ref="B3985:D3985"/>
    <mergeCell ref="B3981:D3981"/>
    <mergeCell ref="G3981:H3981"/>
    <mergeCell ref="I3981:J3981"/>
    <mergeCell ref="K3981:L3981"/>
    <mergeCell ref="B3982:D3982"/>
    <mergeCell ref="I3982:J3982"/>
    <mergeCell ref="B3970:D3970"/>
    <mergeCell ref="B3974:D3974"/>
    <mergeCell ref="A3975:D3978"/>
    <mergeCell ref="A3979:L3979"/>
    <mergeCell ref="C3980:D3980"/>
    <mergeCell ref="J3980:L3980"/>
    <mergeCell ref="B3952:D3952"/>
    <mergeCell ref="A3957:D3960"/>
    <mergeCell ref="A3961:L3961"/>
    <mergeCell ref="C3962:D3962"/>
    <mergeCell ref="J3962:L3962"/>
    <mergeCell ref="B3963:D3963"/>
    <mergeCell ref="B3936:D3936"/>
    <mergeCell ref="A3937:L3937"/>
    <mergeCell ref="C3938:D3938"/>
    <mergeCell ref="J3938:L3938"/>
    <mergeCell ref="B3939:D3939"/>
    <mergeCell ref="B3949:D3949"/>
    <mergeCell ref="B3932:D3932"/>
    <mergeCell ref="I3932:J3932"/>
    <mergeCell ref="B3933:D3933"/>
    <mergeCell ref="I3933:J3933"/>
    <mergeCell ref="B3934:D3934"/>
    <mergeCell ref="I3934:J3934"/>
    <mergeCell ref="B3929:D3929"/>
    <mergeCell ref="I3929:J3929"/>
    <mergeCell ref="B3930:D3930"/>
    <mergeCell ref="I3930:J3930"/>
    <mergeCell ref="B3931:D3931"/>
    <mergeCell ref="I3931:J3931"/>
    <mergeCell ref="A3926:L3926"/>
    <mergeCell ref="C3927:D3927"/>
    <mergeCell ref="J3927:L3927"/>
    <mergeCell ref="B3928:D3928"/>
    <mergeCell ref="G3928:H3928"/>
    <mergeCell ref="I3928:J3928"/>
    <mergeCell ref="K3928:L3928"/>
    <mergeCell ref="J3919:L3919"/>
    <mergeCell ref="B3920:D3920"/>
    <mergeCell ref="G3920:H3920"/>
    <mergeCell ref="K3920:L3920"/>
    <mergeCell ref="B3921:D3921"/>
    <mergeCell ref="F3922:F3923"/>
    <mergeCell ref="G3922:J3922"/>
    <mergeCell ref="G3923:J3923"/>
    <mergeCell ref="B3914:D3914"/>
    <mergeCell ref="I3914:J3914"/>
    <mergeCell ref="B3915:D3915"/>
    <mergeCell ref="I3915:J3915"/>
    <mergeCell ref="B3917:D3917"/>
    <mergeCell ref="A3918:L3918"/>
    <mergeCell ref="C3912:D3912"/>
    <mergeCell ref="J3912:L3912"/>
    <mergeCell ref="B3913:D3913"/>
    <mergeCell ref="G3913:H3913"/>
    <mergeCell ref="I3913:J3913"/>
    <mergeCell ref="K3913:L3913"/>
    <mergeCell ref="B3905:D3905"/>
    <mergeCell ref="F3907:F3908"/>
    <mergeCell ref="G3907:J3907"/>
    <mergeCell ref="G3908:J3908"/>
    <mergeCell ref="A3910:D3910"/>
    <mergeCell ref="A3911:L3911"/>
    <mergeCell ref="B3901:D3901"/>
    <mergeCell ref="G3901:H3901"/>
    <mergeCell ref="K3901:L3901"/>
    <mergeCell ref="B3902:D3902"/>
    <mergeCell ref="B3903:D3903"/>
    <mergeCell ref="B3904:D3904"/>
    <mergeCell ref="F3895:F3896"/>
    <mergeCell ref="G3895:J3895"/>
    <mergeCell ref="G3896:J3896"/>
    <mergeCell ref="A3898:D3898"/>
    <mergeCell ref="A3899:L3899"/>
    <mergeCell ref="C3900:D3900"/>
    <mergeCell ref="J3900:L3900"/>
    <mergeCell ref="C3892:D3892"/>
    <mergeCell ref="J3892:L3892"/>
    <mergeCell ref="B3893:D3893"/>
    <mergeCell ref="G3893:H3893"/>
    <mergeCell ref="K3893:L3893"/>
    <mergeCell ref="B3894:D3894"/>
    <mergeCell ref="B3886:D3886"/>
    <mergeCell ref="F3887:F3888"/>
    <mergeCell ref="G3887:J3887"/>
    <mergeCell ref="G3888:J3888"/>
    <mergeCell ref="A3890:D3890"/>
    <mergeCell ref="A3891:L3891"/>
    <mergeCell ref="B3882:D3882"/>
    <mergeCell ref="A3883:L3883"/>
    <mergeCell ref="C3884:D3884"/>
    <mergeCell ref="J3884:L3884"/>
    <mergeCell ref="B3885:D3885"/>
    <mergeCell ref="G3885:H3885"/>
    <mergeCell ref="K3885:L3885"/>
    <mergeCell ref="B3878:D3878"/>
    <mergeCell ref="I3878:J3878"/>
    <mergeCell ref="B3879:D3879"/>
    <mergeCell ref="I3879:J3879"/>
    <mergeCell ref="B3880:D3880"/>
    <mergeCell ref="I3880:J3880"/>
    <mergeCell ref="B3875:D3875"/>
    <mergeCell ref="I3875:J3875"/>
    <mergeCell ref="B3876:D3876"/>
    <mergeCell ref="I3876:J3876"/>
    <mergeCell ref="B3877:D3877"/>
    <mergeCell ref="I3877:J3877"/>
    <mergeCell ref="B3870:D3870"/>
    <mergeCell ref="A3872:L3872"/>
    <mergeCell ref="C3873:D3873"/>
    <mergeCell ref="J3873:L3873"/>
    <mergeCell ref="B3874:D3874"/>
    <mergeCell ref="G3874:H3874"/>
    <mergeCell ref="I3874:J3874"/>
    <mergeCell ref="K3874:L3874"/>
    <mergeCell ref="B3866:D3866"/>
    <mergeCell ref="G3866:H3866"/>
    <mergeCell ref="K3866:L3866"/>
    <mergeCell ref="B3867:D3867"/>
    <mergeCell ref="F3868:F3869"/>
    <mergeCell ref="G3868:J3868"/>
    <mergeCell ref="G3869:J3869"/>
    <mergeCell ref="B3859:D3859"/>
    <mergeCell ref="I3860:J3860"/>
    <mergeCell ref="B3861:D3861"/>
    <mergeCell ref="A3862:L3863"/>
    <mergeCell ref="A3864:L3864"/>
    <mergeCell ref="C3865:D3865"/>
    <mergeCell ref="J3865:L3865"/>
    <mergeCell ref="A3856:L3856"/>
    <mergeCell ref="C3857:D3857"/>
    <mergeCell ref="J3857:L3857"/>
    <mergeCell ref="B3858:D3858"/>
    <mergeCell ref="G3858:H3858"/>
    <mergeCell ref="K3858:L3858"/>
    <mergeCell ref="B3851:D3851"/>
    <mergeCell ref="F3852:F3853"/>
    <mergeCell ref="G3852:J3852"/>
    <mergeCell ref="G3853:J3853"/>
    <mergeCell ref="B3854:D3854"/>
    <mergeCell ref="B3846:D3846"/>
    <mergeCell ref="A3848:L3848"/>
    <mergeCell ref="C3849:D3849"/>
    <mergeCell ref="J3849:L3849"/>
    <mergeCell ref="B3850:D3850"/>
    <mergeCell ref="G3850:H3850"/>
    <mergeCell ref="K3850:L3850"/>
    <mergeCell ref="B3841:D3841"/>
    <mergeCell ref="B3842:D3842"/>
    <mergeCell ref="B3843:D3843"/>
    <mergeCell ref="F3844:F3845"/>
    <mergeCell ref="G3844:J3844"/>
    <mergeCell ref="G3845:J3845"/>
    <mergeCell ref="A3838:L3838"/>
    <mergeCell ref="C3839:D3839"/>
    <mergeCell ref="J3839:L3839"/>
    <mergeCell ref="B3840:D3840"/>
    <mergeCell ref="G3840:H3840"/>
    <mergeCell ref="K3840:L3840"/>
    <mergeCell ref="A3835:C3835"/>
    <mergeCell ref="D3835:L3835"/>
    <mergeCell ref="A3836:C3836"/>
    <mergeCell ref="D3836:L3836"/>
    <mergeCell ref="A3837:C3837"/>
    <mergeCell ref="D3837:L3837"/>
    <mergeCell ref="A3832:C3832"/>
    <mergeCell ref="D3832:L3832"/>
    <mergeCell ref="A3833:C3833"/>
    <mergeCell ref="D3833:L3833"/>
    <mergeCell ref="A3834:C3834"/>
    <mergeCell ref="D3834:L3834"/>
    <mergeCell ref="A3828:L3828"/>
    <mergeCell ref="A3829:C3829"/>
    <mergeCell ref="D3829:L3829"/>
    <mergeCell ref="A3830:C3830"/>
    <mergeCell ref="D3830:L3830"/>
    <mergeCell ref="A3831:C3831"/>
    <mergeCell ref="D3831:L3831"/>
    <mergeCell ref="B3821:D3821"/>
    <mergeCell ref="B3822:D3822"/>
    <mergeCell ref="I3822:J3822"/>
    <mergeCell ref="B3823:D3823"/>
    <mergeCell ref="I3823:J3823"/>
    <mergeCell ref="F3824:F3825"/>
    <mergeCell ref="G3824:J3824"/>
    <mergeCell ref="G3825:J3825"/>
    <mergeCell ref="B3815:D3815"/>
    <mergeCell ref="B3816:D3816"/>
    <mergeCell ref="B3817:D3817"/>
    <mergeCell ref="B3818:D3818"/>
    <mergeCell ref="B3819:D3819"/>
    <mergeCell ref="B3820:D3820"/>
    <mergeCell ref="B3809:D3809"/>
    <mergeCell ref="B3810:D3810"/>
    <mergeCell ref="B3811:D3811"/>
    <mergeCell ref="B3812:D3812"/>
    <mergeCell ref="B3813:D3813"/>
    <mergeCell ref="B3814:D3814"/>
    <mergeCell ref="B3803:D3803"/>
    <mergeCell ref="B3804:D3804"/>
    <mergeCell ref="B3805:D3805"/>
    <mergeCell ref="B3806:D3806"/>
    <mergeCell ref="B3807:D3807"/>
    <mergeCell ref="B3808:D3808"/>
    <mergeCell ref="A3800:L3800"/>
    <mergeCell ref="C3801:D3801"/>
    <mergeCell ref="J3801:L3801"/>
    <mergeCell ref="B3802:D3802"/>
    <mergeCell ref="G3802:H3802"/>
    <mergeCell ref="K3802:L3802"/>
    <mergeCell ref="B3794:D3794"/>
    <mergeCell ref="G3794:H3794"/>
    <mergeCell ref="K3794:L3794"/>
    <mergeCell ref="B3795:D3795"/>
    <mergeCell ref="F3796:F3797"/>
    <mergeCell ref="G3796:J3796"/>
    <mergeCell ref="G3797:J3797"/>
    <mergeCell ref="B3787:D3787"/>
    <mergeCell ref="F3788:F3789"/>
    <mergeCell ref="G3788:J3788"/>
    <mergeCell ref="G3789:J3789"/>
    <mergeCell ref="A3792:L3792"/>
    <mergeCell ref="C3793:D3793"/>
    <mergeCell ref="J3793:L3793"/>
    <mergeCell ref="B3781:D3781"/>
    <mergeCell ref="A3783:L3783"/>
    <mergeCell ref="C3784:D3784"/>
    <mergeCell ref="J3784:L3784"/>
    <mergeCell ref="B3785:D3785"/>
    <mergeCell ref="G3785:H3785"/>
    <mergeCell ref="K3785:L3785"/>
    <mergeCell ref="B3777:D3777"/>
    <mergeCell ref="G3777:H3777"/>
    <mergeCell ref="K3777:L3777"/>
    <mergeCell ref="B3778:D3778"/>
    <mergeCell ref="F3779:F3780"/>
    <mergeCell ref="G3779:J3779"/>
    <mergeCell ref="G3780:J3780"/>
    <mergeCell ref="G3771:J3771"/>
    <mergeCell ref="G3772:J3772"/>
    <mergeCell ref="B3773:D3773"/>
    <mergeCell ref="A3775:L3775"/>
    <mergeCell ref="C3776:D3776"/>
    <mergeCell ref="J3776:L3776"/>
    <mergeCell ref="B3766:D3766"/>
    <mergeCell ref="B3767:D3767"/>
    <mergeCell ref="B3768:D3768"/>
    <mergeCell ref="B3769:D3769"/>
    <mergeCell ref="B3770:D3770"/>
    <mergeCell ref="F3771:F3772"/>
    <mergeCell ref="B3762:D3762"/>
    <mergeCell ref="A3763:L3763"/>
    <mergeCell ref="C3764:D3764"/>
    <mergeCell ref="J3764:L3764"/>
    <mergeCell ref="B3765:D3765"/>
    <mergeCell ref="G3765:H3765"/>
    <mergeCell ref="K3765:L3765"/>
    <mergeCell ref="B3760:D3760"/>
    <mergeCell ref="G3760:H3760"/>
    <mergeCell ref="I3760:J3760"/>
    <mergeCell ref="K3760:L3760"/>
    <mergeCell ref="B3761:D3761"/>
    <mergeCell ref="I3761:J3761"/>
    <mergeCell ref="B3753:D3753"/>
    <mergeCell ref="F3754:F3755"/>
    <mergeCell ref="G3754:J3754"/>
    <mergeCell ref="G3755:J3755"/>
    <mergeCell ref="A3758:L3758"/>
    <mergeCell ref="C3759:D3759"/>
    <mergeCell ref="J3759:L3759"/>
    <mergeCell ref="B3746:D3746"/>
    <mergeCell ref="B3748:D3748"/>
    <mergeCell ref="B3749:D3749"/>
    <mergeCell ref="B3750:D3750"/>
    <mergeCell ref="B3751:D3751"/>
    <mergeCell ref="B3752:D3752"/>
    <mergeCell ref="C3743:D3743"/>
    <mergeCell ref="J3743:L3743"/>
    <mergeCell ref="B3744:D3744"/>
    <mergeCell ref="G3744:H3744"/>
    <mergeCell ref="K3744:L3744"/>
    <mergeCell ref="B3745:D3745"/>
    <mergeCell ref="B3736:D3736"/>
    <mergeCell ref="B3737:D3737"/>
    <mergeCell ref="F3738:F3739"/>
    <mergeCell ref="G3738:J3738"/>
    <mergeCell ref="G3739:J3739"/>
    <mergeCell ref="A3742:L3742"/>
    <mergeCell ref="A3733:L3733"/>
    <mergeCell ref="C3734:D3734"/>
    <mergeCell ref="J3734:L3734"/>
    <mergeCell ref="B3735:D3735"/>
    <mergeCell ref="G3735:H3735"/>
    <mergeCell ref="K3735:L3735"/>
    <mergeCell ref="B3726:D3726"/>
    <mergeCell ref="G3726:H3726"/>
    <mergeCell ref="K3726:L3726"/>
    <mergeCell ref="B3727:D3727"/>
    <mergeCell ref="B3728:D3728"/>
    <mergeCell ref="F3729:F3730"/>
    <mergeCell ref="G3729:J3729"/>
    <mergeCell ref="G3730:J3730"/>
    <mergeCell ref="B3719:D3719"/>
    <mergeCell ref="F3720:F3721"/>
    <mergeCell ref="G3720:J3720"/>
    <mergeCell ref="G3721:J3721"/>
    <mergeCell ref="A3724:L3724"/>
    <mergeCell ref="C3725:D3725"/>
    <mergeCell ref="J3725:L3725"/>
    <mergeCell ref="A3716:L3716"/>
    <mergeCell ref="C3717:D3717"/>
    <mergeCell ref="J3717:L3717"/>
    <mergeCell ref="B3718:D3718"/>
    <mergeCell ref="G3718:H3718"/>
    <mergeCell ref="K3718:L3718"/>
    <mergeCell ref="B3710:D3710"/>
    <mergeCell ref="G3710:H3710"/>
    <mergeCell ref="K3710:L3710"/>
    <mergeCell ref="B3711:D3711"/>
    <mergeCell ref="F3712:F3713"/>
    <mergeCell ref="G3712:J3712"/>
    <mergeCell ref="G3713:J3713"/>
    <mergeCell ref="B3702:D3702"/>
    <mergeCell ref="F3704:F3705"/>
    <mergeCell ref="G3704:J3704"/>
    <mergeCell ref="G3705:J3705"/>
    <mergeCell ref="A3708:L3708"/>
    <mergeCell ref="C3709:D3709"/>
    <mergeCell ref="J3709:L3709"/>
    <mergeCell ref="C3698:D3698"/>
    <mergeCell ref="J3698:L3698"/>
    <mergeCell ref="B3699:D3699"/>
    <mergeCell ref="G3699:H3699"/>
    <mergeCell ref="K3699:L3699"/>
    <mergeCell ref="B3701:D3701"/>
    <mergeCell ref="B3691:D3691"/>
    <mergeCell ref="B3692:D3692"/>
    <mergeCell ref="F3693:F3694"/>
    <mergeCell ref="G3693:J3693"/>
    <mergeCell ref="G3694:J3694"/>
    <mergeCell ref="A3697:L3697"/>
    <mergeCell ref="B3685:D3685"/>
    <mergeCell ref="B3686:D3686"/>
    <mergeCell ref="B3687:D3687"/>
    <mergeCell ref="B3688:D3688"/>
    <mergeCell ref="B3689:D3689"/>
    <mergeCell ref="B3690:D3690"/>
    <mergeCell ref="B3681:D3681"/>
    <mergeCell ref="A3682:L3682"/>
    <mergeCell ref="C3683:D3683"/>
    <mergeCell ref="J3683:L3683"/>
    <mergeCell ref="B3684:D3684"/>
    <mergeCell ref="G3684:H3684"/>
    <mergeCell ref="K3684:L3684"/>
    <mergeCell ref="B3678:D3678"/>
    <mergeCell ref="I3678:J3678"/>
    <mergeCell ref="B3679:D3679"/>
    <mergeCell ref="I3679:J3679"/>
    <mergeCell ref="B3680:D3680"/>
    <mergeCell ref="I3680:J3680"/>
    <mergeCell ref="B3676:D3676"/>
    <mergeCell ref="G3676:H3676"/>
    <mergeCell ref="I3676:J3676"/>
    <mergeCell ref="K3676:L3676"/>
    <mergeCell ref="B3677:D3677"/>
    <mergeCell ref="I3677:J3677"/>
    <mergeCell ref="F3670:F3671"/>
    <mergeCell ref="G3670:J3670"/>
    <mergeCell ref="G3671:J3671"/>
    <mergeCell ref="A3674:L3674"/>
    <mergeCell ref="C3675:D3675"/>
    <mergeCell ref="J3675:L3675"/>
    <mergeCell ref="B3665:D3665"/>
    <mergeCell ref="B3666:D3666"/>
    <mergeCell ref="B3667:D3667"/>
    <mergeCell ref="B3668:D3668"/>
    <mergeCell ref="B3669:D3669"/>
    <mergeCell ref="C3662:D3662"/>
    <mergeCell ref="J3662:L3662"/>
    <mergeCell ref="B3663:D3663"/>
    <mergeCell ref="G3663:H3663"/>
    <mergeCell ref="K3663:L3663"/>
    <mergeCell ref="B3664:D3664"/>
    <mergeCell ref="B3655:D3655"/>
    <mergeCell ref="F3657:F3658"/>
    <mergeCell ref="G3657:J3657"/>
    <mergeCell ref="G3658:J3658"/>
    <mergeCell ref="A3661:L3661"/>
    <mergeCell ref="C3652:D3652"/>
    <mergeCell ref="J3652:L3652"/>
    <mergeCell ref="B3653:D3653"/>
    <mergeCell ref="G3653:H3653"/>
    <mergeCell ref="K3653:L3653"/>
    <mergeCell ref="B3654:D3654"/>
    <mergeCell ref="B3648:D3648"/>
    <mergeCell ref="I3648:J3648"/>
    <mergeCell ref="B3649:D3649"/>
    <mergeCell ref="I3649:J3649"/>
    <mergeCell ref="B3650:D3650"/>
    <mergeCell ref="A3651:L3651"/>
    <mergeCell ref="A3645:L3645"/>
    <mergeCell ref="C3646:D3646"/>
    <mergeCell ref="J3646:L3646"/>
    <mergeCell ref="B3647:D3647"/>
    <mergeCell ref="G3647:H3647"/>
    <mergeCell ref="I3647:J3647"/>
    <mergeCell ref="K3647:L3647"/>
    <mergeCell ref="B3638:D3638"/>
    <mergeCell ref="B3639:D3639"/>
    <mergeCell ref="B3640:D3640"/>
    <mergeCell ref="F3641:F3642"/>
    <mergeCell ref="G3641:J3641"/>
    <mergeCell ref="G3642:J3642"/>
    <mergeCell ref="A3635:L3635"/>
    <mergeCell ref="C3636:D3636"/>
    <mergeCell ref="J3636:L3636"/>
    <mergeCell ref="B3637:D3637"/>
    <mergeCell ref="G3637:H3637"/>
    <mergeCell ref="K3637:L3637"/>
    <mergeCell ref="B3629:D3629"/>
    <mergeCell ref="G3629:H3629"/>
    <mergeCell ref="K3629:L3629"/>
    <mergeCell ref="B3630:D3630"/>
    <mergeCell ref="F3631:F3632"/>
    <mergeCell ref="G3631:J3631"/>
    <mergeCell ref="G3632:J3632"/>
    <mergeCell ref="B3622:D3622"/>
    <mergeCell ref="F3623:F3624"/>
    <mergeCell ref="G3623:J3623"/>
    <mergeCell ref="G3624:J3624"/>
    <mergeCell ref="A3627:L3627"/>
    <mergeCell ref="C3628:D3628"/>
    <mergeCell ref="J3628:L3628"/>
    <mergeCell ref="B3617:D3617"/>
    <mergeCell ref="A3619:L3619"/>
    <mergeCell ref="C3620:D3620"/>
    <mergeCell ref="J3620:L3620"/>
    <mergeCell ref="B3621:D3621"/>
    <mergeCell ref="G3621:H3621"/>
    <mergeCell ref="K3621:L3621"/>
    <mergeCell ref="B3613:D3613"/>
    <mergeCell ref="G3613:H3613"/>
    <mergeCell ref="K3613:L3613"/>
    <mergeCell ref="B3614:D3614"/>
    <mergeCell ref="F3615:F3616"/>
    <mergeCell ref="G3615:J3615"/>
    <mergeCell ref="G3616:J3616"/>
    <mergeCell ref="F3607:F3608"/>
    <mergeCell ref="G3607:J3607"/>
    <mergeCell ref="G3608:J3608"/>
    <mergeCell ref="A3611:L3611"/>
    <mergeCell ref="C3612:D3612"/>
    <mergeCell ref="J3612:L3612"/>
    <mergeCell ref="B3603:D3603"/>
    <mergeCell ref="G3603:H3603"/>
    <mergeCell ref="K3603:L3603"/>
    <mergeCell ref="B3604:D3604"/>
    <mergeCell ref="B3605:D3605"/>
    <mergeCell ref="B3606:D3606"/>
    <mergeCell ref="B3598:D3598"/>
    <mergeCell ref="I3598:J3598"/>
    <mergeCell ref="B3600:D3600"/>
    <mergeCell ref="A3601:L3601"/>
    <mergeCell ref="C3602:D3602"/>
    <mergeCell ref="J3602:L3602"/>
    <mergeCell ref="B3596:D3596"/>
    <mergeCell ref="G3596:H3596"/>
    <mergeCell ref="I3596:J3596"/>
    <mergeCell ref="K3596:L3596"/>
    <mergeCell ref="B3597:D3597"/>
    <mergeCell ref="I3597:J3597"/>
    <mergeCell ref="F3590:F3591"/>
    <mergeCell ref="G3590:J3590"/>
    <mergeCell ref="G3591:J3591"/>
    <mergeCell ref="A3594:L3594"/>
    <mergeCell ref="C3595:D3595"/>
    <mergeCell ref="J3595:L3595"/>
    <mergeCell ref="B3586:D3586"/>
    <mergeCell ref="G3586:H3586"/>
    <mergeCell ref="K3586:L3586"/>
    <mergeCell ref="B3587:D3587"/>
    <mergeCell ref="B3588:D3588"/>
    <mergeCell ref="B3589:D3589"/>
    <mergeCell ref="F3580:F3581"/>
    <mergeCell ref="G3580:J3580"/>
    <mergeCell ref="G3581:J3581"/>
    <mergeCell ref="A3584:L3584"/>
    <mergeCell ref="C3585:D3585"/>
    <mergeCell ref="J3585:L3585"/>
    <mergeCell ref="B3576:D3576"/>
    <mergeCell ref="G3576:H3576"/>
    <mergeCell ref="K3576:L3576"/>
    <mergeCell ref="B3577:D3577"/>
    <mergeCell ref="B3578:D3578"/>
    <mergeCell ref="B3579:D3579"/>
    <mergeCell ref="F3570:F3571"/>
    <mergeCell ref="G3570:J3570"/>
    <mergeCell ref="G3571:J3571"/>
    <mergeCell ref="A3574:L3574"/>
    <mergeCell ref="C3575:D3575"/>
    <mergeCell ref="J3575:L3575"/>
    <mergeCell ref="B3566:D3566"/>
    <mergeCell ref="G3566:H3566"/>
    <mergeCell ref="K3566:L3566"/>
    <mergeCell ref="B3567:D3567"/>
    <mergeCell ref="B3568:D3568"/>
    <mergeCell ref="B3569:D3569"/>
    <mergeCell ref="B3562:D3562"/>
    <mergeCell ref="I3562:J3562"/>
    <mergeCell ref="B3563:D3563"/>
    <mergeCell ref="A3564:L3564"/>
    <mergeCell ref="C3565:D3565"/>
    <mergeCell ref="J3565:L3565"/>
    <mergeCell ref="A3559:L3559"/>
    <mergeCell ref="C3560:D3560"/>
    <mergeCell ref="J3560:L3560"/>
    <mergeCell ref="B3561:D3561"/>
    <mergeCell ref="G3561:H3561"/>
    <mergeCell ref="I3561:J3561"/>
    <mergeCell ref="K3561:L3561"/>
    <mergeCell ref="B3552:D3552"/>
    <mergeCell ref="B3553:D3553"/>
    <mergeCell ref="B3554:D3554"/>
    <mergeCell ref="F3555:F3556"/>
    <mergeCell ref="G3555:J3555"/>
    <mergeCell ref="G3556:J3556"/>
    <mergeCell ref="A3549:L3549"/>
    <mergeCell ref="C3550:D3550"/>
    <mergeCell ref="J3550:L3550"/>
    <mergeCell ref="B3551:D3551"/>
    <mergeCell ref="G3551:H3551"/>
    <mergeCell ref="K3551:L3551"/>
    <mergeCell ref="A3546:C3546"/>
    <mergeCell ref="D3546:L3546"/>
    <mergeCell ref="A3547:C3547"/>
    <mergeCell ref="D3547:L3547"/>
    <mergeCell ref="A3548:C3548"/>
    <mergeCell ref="D3548:L3548"/>
    <mergeCell ref="A3543:C3543"/>
    <mergeCell ref="D3543:L3543"/>
    <mergeCell ref="A3544:C3544"/>
    <mergeCell ref="D3544:L3544"/>
    <mergeCell ref="A3545:C3545"/>
    <mergeCell ref="D3545:L3545"/>
    <mergeCell ref="A3540:C3540"/>
    <mergeCell ref="D3540:L3540"/>
    <mergeCell ref="A3541:C3541"/>
    <mergeCell ref="D3541:L3541"/>
    <mergeCell ref="A3542:C3542"/>
    <mergeCell ref="D3542:L3542"/>
    <mergeCell ref="B3533:D3533"/>
    <mergeCell ref="B3534:D3534"/>
    <mergeCell ref="F3535:F3536"/>
    <mergeCell ref="G3535:J3535"/>
    <mergeCell ref="G3536:J3536"/>
    <mergeCell ref="A3539:L3539"/>
    <mergeCell ref="C3530:D3530"/>
    <mergeCell ref="J3530:L3530"/>
    <mergeCell ref="B3531:D3531"/>
    <mergeCell ref="G3531:H3531"/>
    <mergeCell ref="K3531:L3531"/>
    <mergeCell ref="B3532:D3532"/>
    <mergeCell ref="B3522:D3522"/>
    <mergeCell ref="B3523:D3523"/>
    <mergeCell ref="F3525:F3526"/>
    <mergeCell ref="G3525:J3525"/>
    <mergeCell ref="G3526:J3526"/>
    <mergeCell ref="A3529:L3529"/>
    <mergeCell ref="A3519:L3519"/>
    <mergeCell ref="C3520:D3520"/>
    <mergeCell ref="J3520:L3520"/>
    <mergeCell ref="B3521:D3521"/>
    <mergeCell ref="G3521:H3521"/>
    <mergeCell ref="K3521:L3521"/>
    <mergeCell ref="B3512:D3512"/>
    <mergeCell ref="B3513:D3513"/>
    <mergeCell ref="F3515:F3516"/>
    <mergeCell ref="G3515:J3515"/>
    <mergeCell ref="G3516:J3516"/>
    <mergeCell ref="A3509:L3509"/>
    <mergeCell ref="C3510:D3510"/>
    <mergeCell ref="J3510:L3510"/>
    <mergeCell ref="B3511:D3511"/>
    <mergeCell ref="G3511:H3511"/>
    <mergeCell ref="K3511:L3511"/>
    <mergeCell ref="B3501:D3501"/>
    <mergeCell ref="G3501:H3501"/>
    <mergeCell ref="K3501:L3501"/>
    <mergeCell ref="B3502:D3502"/>
    <mergeCell ref="B3503:D3503"/>
    <mergeCell ref="F3505:F3506"/>
    <mergeCell ref="G3505:J3505"/>
    <mergeCell ref="G3506:J3506"/>
    <mergeCell ref="B3493:D3493"/>
    <mergeCell ref="F3495:F3496"/>
    <mergeCell ref="G3495:J3495"/>
    <mergeCell ref="G3496:J3496"/>
    <mergeCell ref="A3499:L3499"/>
    <mergeCell ref="C3500:D3500"/>
    <mergeCell ref="J3500:L3500"/>
    <mergeCell ref="C3490:D3490"/>
    <mergeCell ref="J3490:L3490"/>
    <mergeCell ref="B3491:D3491"/>
    <mergeCell ref="G3491:H3491"/>
    <mergeCell ref="K3491:L3491"/>
    <mergeCell ref="B3492:D3492"/>
    <mergeCell ref="B3483:D3483"/>
    <mergeCell ref="F3485:F3486"/>
    <mergeCell ref="G3485:J3485"/>
    <mergeCell ref="G3486:J3486"/>
    <mergeCell ref="A3489:L3489"/>
    <mergeCell ref="C3480:D3480"/>
    <mergeCell ref="J3480:L3480"/>
    <mergeCell ref="B3481:D3481"/>
    <mergeCell ref="G3481:H3481"/>
    <mergeCell ref="K3481:L3481"/>
    <mergeCell ref="B3482:D3482"/>
    <mergeCell ref="B3472:D3472"/>
    <mergeCell ref="B3473:D3473"/>
    <mergeCell ref="F3475:F3476"/>
    <mergeCell ref="G3475:J3475"/>
    <mergeCell ref="G3476:J3476"/>
    <mergeCell ref="A3479:L3479"/>
    <mergeCell ref="B3468:D3468"/>
    <mergeCell ref="A3469:L3469"/>
    <mergeCell ref="C3470:D3470"/>
    <mergeCell ref="J3470:L3470"/>
    <mergeCell ref="B3471:D3471"/>
    <mergeCell ref="G3471:H3471"/>
    <mergeCell ref="K3471:L3471"/>
    <mergeCell ref="B3466:D3466"/>
    <mergeCell ref="G3466:H3466"/>
    <mergeCell ref="I3466:J3466"/>
    <mergeCell ref="K3466:L3466"/>
    <mergeCell ref="B3467:D3467"/>
    <mergeCell ref="I3467:J3467"/>
    <mergeCell ref="B3462:D3462"/>
    <mergeCell ref="I3462:J3462"/>
    <mergeCell ref="B3463:D3463"/>
    <mergeCell ref="A3464:L3464"/>
    <mergeCell ref="C3465:D3465"/>
    <mergeCell ref="J3465:L3465"/>
    <mergeCell ref="A3459:L3459"/>
    <mergeCell ref="C3460:D3460"/>
    <mergeCell ref="J3460:L3460"/>
    <mergeCell ref="B3461:D3461"/>
    <mergeCell ref="G3461:H3461"/>
    <mergeCell ref="I3461:J3461"/>
    <mergeCell ref="K3461:L3461"/>
    <mergeCell ref="B3451:D3451"/>
    <mergeCell ref="B3452:D3452"/>
    <mergeCell ref="B3453:D3453"/>
    <mergeCell ref="B3454:D3454"/>
    <mergeCell ref="F3455:F3456"/>
    <mergeCell ref="G3455:J3455"/>
    <mergeCell ref="G3456:J3456"/>
    <mergeCell ref="B3447:D3447"/>
    <mergeCell ref="G3447:H3447"/>
    <mergeCell ref="K3447:L3447"/>
    <mergeCell ref="B3448:D3448"/>
    <mergeCell ref="B3449:D3449"/>
    <mergeCell ref="B3450:D3450"/>
    <mergeCell ref="B3439:D3439"/>
    <mergeCell ref="F3441:F3442"/>
    <mergeCell ref="G3441:J3441"/>
    <mergeCell ref="G3442:J3442"/>
    <mergeCell ref="A3445:L3445"/>
    <mergeCell ref="C3446:D3446"/>
    <mergeCell ref="J3446:L3446"/>
    <mergeCell ref="C3436:D3436"/>
    <mergeCell ref="J3436:L3436"/>
    <mergeCell ref="B3437:D3437"/>
    <mergeCell ref="G3437:H3437"/>
    <mergeCell ref="K3437:L3437"/>
    <mergeCell ref="B3438:D3438"/>
    <mergeCell ref="B3428:D3428"/>
    <mergeCell ref="B3429:D3429"/>
    <mergeCell ref="F3431:F3432"/>
    <mergeCell ref="G3431:J3431"/>
    <mergeCell ref="G3432:J3432"/>
    <mergeCell ref="A3435:L3435"/>
    <mergeCell ref="A3425:L3425"/>
    <mergeCell ref="C3426:D3426"/>
    <mergeCell ref="J3426:L3426"/>
    <mergeCell ref="B3427:D3427"/>
    <mergeCell ref="G3427:H3427"/>
    <mergeCell ref="K3427:L3427"/>
    <mergeCell ref="B3417:D3417"/>
    <mergeCell ref="B3418:D3418"/>
    <mergeCell ref="B3419:D3419"/>
    <mergeCell ref="F3421:F3422"/>
    <mergeCell ref="G3421:J3421"/>
    <mergeCell ref="G3422:J3422"/>
    <mergeCell ref="A3414:L3414"/>
    <mergeCell ref="C3415:D3415"/>
    <mergeCell ref="J3415:L3415"/>
    <mergeCell ref="B3416:D3416"/>
    <mergeCell ref="G3416:H3416"/>
    <mergeCell ref="K3416:L3416"/>
    <mergeCell ref="B3411:D3411"/>
    <mergeCell ref="I3411:J3411"/>
    <mergeCell ref="K3411:L3411"/>
    <mergeCell ref="B3412:D3412"/>
    <mergeCell ref="I3412:J3412"/>
    <mergeCell ref="B3413:D3413"/>
    <mergeCell ref="E3413:H3413"/>
    <mergeCell ref="B3403:D3403"/>
    <mergeCell ref="F3405:F3406"/>
    <mergeCell ref="G3405:J3405"/>
    <mergeCell ref="G3406:J3406"/>
    <mergeCell ref="A3409:L3409"/>
    <mergeCell ref="C3410:D3410"/>
    <mergeCell ref="J3410:L3410"/>
    <mergeCell ref="C3400:D3400"/>
    <mergeCell ref="J3400:L3400"/>
    <mergeCell ref="B3401:D3401"/>
    <mergeCell ref="G3401:H3401"/>
    <mergeCell ref="K3401:L3401"/>
    <mergeCell ref="B3402:D3402"/>
    <mergeCell ref="B3394:D3394"/>
    <mergeCell ref="F3395:F3396"/>
    <mergeCell ref="G3395:J3395"/>
    <mergeCell ref="G3396:J3396"/>
    <mergeCell ref="A3399:L3399"/>
    <mergeCell ref="A3391:L3391"/>
    <mergeCell ref="C3392:D3392"/>
    <mergeCell ref="J3392:L3392"/>
    <mergeCell ref="B3393:D3393"/>
    <mergeCell ref="G3393:H3393"/>
    <mergeCell ref="K3393:L3393"/>
    <mergeCell ref="B3384:D3384"/>
    <mergeCell ref="B3385:D3385"/>
    <mergeCell ref="B3386:D3386"/>
    <mergeCell ref="F3387:F3388"/>
    <mergeCell ref="G3387:J3387"/>
    <mergeCell ref="G3388:J3388"/>
    <mergeCell ref="B3380:D3380"/>
    <mergeCell ref="A3381:L3381"/>
    <mergeCell ref="C3382:D3382"/>
    <mergeCell ref="J3382:L3382"/>
    <mergeCell ref="B3383:D3383"/>
    <mergeCell ref="G3383:H3383"/>
    <mergeCell ref="K3383:L3383"/>
    <mergeCell ref="B3378:D3378"/>
    <mergeCell ref="G3378:H3378"/>
    <mergeCell ref="I3378:J3378"/>
    <mergeCell ref="K3378:L3378"/>
    <mergeCell ref="B3379:D3379"/>
    <mergeCell ref="I3379:J3379"/>
    <mergeCell ref="A3374:C3374"/>
    <mergeCell ref="D3374:L3374"/>
    <mergeCell ref="A3375:C3375"/>
    <mergeCell ref="D3375:L3375"/>
    <mergeCell ref="A3376:L3376"/>
    <mergeCell ref="C3377:D3377"/>
    <mergeCell ref="J3377:L3377"/>
    <mergeCell ref="A3371:C3371"/>
    <mergeCell ref="D3371:L3371"/>
    <mergeCell ref="A3372:C3372"/>
    <mergeCell ref="D3372:L3372"/>
    <mergeCell ref="A3373:C3373"/>
    <mergeCell ref="D3373:L3373"/>
    <mergeCell ref="A3368:C3368"/>
    <mergeCell ref="D3368:L3368"/>
    <mergeCell ref="A3369:C3369"/>
    <mergeCell ref="D3369:L3369"/>
    <mergeCell ref="A3370:C3370"/>
    <mergeCell ref="D3370:L3370"/>
    <mergeCell ref="F3362:F3363"/>
    <mergeCell ref="G3362:J3362"/>
    <mergeCell ref="G3363:J3363"/>
    <mergeCell ref="A3366:L3366"/>
    <mergeCell ref="A3367:C3367"/>
    <mergeCell ref="D3367:L3367"/>
    <mergeCell ref="B3358:D3358"/>
    <mergeCell ref="G3358:H3358"/>
    <mergeCell ref="K3358:L3358"/>
    <mergeCell ref="B3359:D3359"/>
    <mergeCell ref="B3360:D3360"/>
    <mergeCell ref="B3361:D3361"/>
    <mergeCell ref="B3354:D3354"/>
    <mergeCell ref="I3354:J3354"/>
    <mergeCell ref="B3355:D3355"/>
    <mergeCell ref="A3356:L3356"/>
    <mergeCell ref="C3357:D3357"/>
    <mergeCell ref="J3357:L3357"/>
    <mergeCell ref="C3352:D3352"/>
    <mergeCell ref="J3352:L3352"/>
    <mergeCell ref="B3353:D3353"/>
    <mergeCell ref="G3353:H3353"/>
    <mergeCell ref="I3353:J3353"/>
    <mergeCell ref="K3353:L3353"/>
    <mergeCell ref="B3349:D3349"/>
    <mergeCell ref="I3349:J3349"/>
    <mergeCell ref="B3350:D3350"/>
    <mergeCell ref="A3351:L3351"/>
    <mergeCell ref="B3345:D3345"/>
    <mergeCell ref="E3345:H3345"/>
    <mergeCell ref="A3346:L3346"/>
    <mergeCell ref="C3347:D3347"/>
    <mergeCell ref="J3347:L3347"/>
    <mergeCell ref="B3348:D3348"/>
    <mergeCell ref="G3348:H3348"/>
    <mergeCell ref="I3348:J3348"/>
    <mergeCell ref="K3348:L3348"/>
    <mergeCell ref="B3343:D3343"/>
    <mergeCell ref="G3343:H3343"/>
    <mergeCell ref="I3343:J3343"/>
    <mergeCell ref="K3343:L3343"/>
    <mergeCell ref="B3344:D3344"/>
    <mergeCell ref="G3344:H3344"/>
    <mergeCell ref="I3344:J3344"/>
    <mergeCell ref="A3339:C3339"/>
    <mergeCell ref="D3339:L3339"/>
    <mergeCell ref="A3340:C3340"/>
    <mergeCell ref="D3340:L3340"/>
    <mergeCell ref="A3341:L3341"/>
    <mergeCell ref="C3342:D3342"/>
    <mergeCell ref="J3342:L3342"/>
    <mergeCell ref="A3336:C3336"/>
    <mergeCell ref="D3336:L3336"/>
    <mergeCell ref="A3337:C3337"/>
    <mergeCell ref="D3337:L3337"/>
    <mergeCell ref="A3338:C3338"/>
    <mergeCell ref="D3338:L3338"/>
    <mergeCell ref="A3333:C3333"/>
    <mergeCell ref="D3333:L3333"/>
    <mergeCell ref="A3334:C3334"/>
    <mergeCell ref="D3334:L3334"/>
    <mergeCell ref="A3335:C3335"/>
    <mergeCell ref="D3335:L3335"/>
    <mergeCell ref="B3326:D3326"/>
    <mergeCell ref="F3327:F3328"/>
    <mergeCell ref="G3327:J3327"/>
    <mergeCell ref="G3328:J3328"/>
    <mergeCell ref="A3331:L3331"/>
    <mergeCell ref="A3332:C3332"/>
    <mergeCell ref="D3332:L3332"/>
    <mergeCell ref="B3322:D3322"/>
    <mergeCell ref="G3322:H3322"/>
    <mergeCell ref="K3322:L3322"/>
    <mergeCell ref="B3323:D3323"/>
    <mergeCell ref="B3324:D3324"/>
    <mergeCell ref="B3325:D3325"/>
    <mergeCell ref="A3318:C3318"/>
    <mergeCell ref="D3318:L3318"/>
    <mergeCell ref="A3319:C3319"/>
    <mergeCell ref="D3319:L3319"/>
    <mergeCell ref="A3320:L3320"/>
    <mergeCell ref="C3321:D3321"/>
    <mergeCell ref="J3321:L3321"/>
    <mergeCell ref="A3315:C3315"/>
    <mergeCell ref="D3315:L3315"/>
    <mergeCell ref="A3316:C3316"/>
    <mergeCell ref="D3316:L3316"/>
    <mergeCell ref="A3317:C3317"/>
    <mergeCell ref="D3317:L3317"/>
    <mergeCell ref="A3312:C3312"/>
    <mergeCell ref="D3312:L3312"/>
    <mergeCell ref="A3313:C3313"/>
    <mergeCell ref="D3313:L3313"/>
    <mergeCell ref="A3314:C3314"/>
    <mergeCell ref="D3314:L3314"/>
    <mergeCell ref="B3305:D3305"/>
    <mergeCell ref="F3306:F3307"/>
    <mergeCell ref="G3306:J3306"/>
    <mergeCell ref="G3307:J3307"/>
    <mergeCell ref="A3310:L3310"/>
    <mergeCell ref="A3311:C3311"/>
    <mergeCell ref="D3311:L3311"/>
    <mergeCell ref="B3299:D3299"/>
    <mergeCell ref="B3300:D3300"/>
    <mergeCell ref="B3301:D3301"/>
    <mergeCell ref="B3302:D3302"/>
    <mergeCell ref="B3303:D3303"/>
    <mergeCell ref="B3304:D3304"/>
    <mergeCell ref="B3295:D3295"/>
    <mergeCell ref="G3295:H3295"/>
    <mergeCell ref="K3295:L3295"/>
    <mergeCell ref="B3296:D3296"/>
    <mergeCell ref="B3297:D3297"/>
    <mergeCell ref="B3298:D3298"/>
    <mergeCell ref="B3288:D3288"/>
    <mergeCell ref="F3289:F3290"/>
    <mergeCell ref="G3289:J3289"/>
    <mergeCell ref="G3290:J3290"/>
    <mergeCell ref="A3293:L3293"/>
    <mergeCell ref="C3294:D3294"/>
    <mergeCell ref="J3294:L3294"/>
    <mergeCell ref="A3285:L3285"/>
    <mergeCell ref="C3286:D3286"/>
    <mergeCell ref="J3286:L3286"/>
    <mergeCell ref="B3287:D3287"/>
    <mergeCell ref="G3287:H3287"/>
    <mergeCell ref="K3287:L3287"/>
    <mergeCell ref="B3278:D3278"/>
    <mergeCell ref="B3279:D3279"/>
    <mergeCell ref="B3280:D3280"/>
    <mergeCell ref="F3281:F3282"/>
    <mergeCell ref="G3281:J3281"/>
    <mergeCell ref="G3282:J3282"/>
    <mergeCell ref="A3274:C3274"/>
    <mergeCell ref="D3274:L3274"/>
    <mergeCell ref="A3275:L3275"/>
    <mergeCell ref="C3276:D3276"/>
    <mergeCell ref="J3276:L3276"/>
    <mergeCell ref="B3277:D3277"/>
    <mergeCell ref="G3277:H3277"/>
    <mergeCell ref="K3277:L3277"/>
    <mergeCell ref="A3271:C3271"/>
    <mergeCell ref="D3271:L3271"/>
    <mergeCell ref="A3272:C3272"/>
    <mergeCell ref="D3272:L3272"/>
    <mergeCell ref="A3273:C3273"/>
    <mergeCell ref="D3273:L3273"/>
    <mergeCell ref="A3268:C3268"/>
    <mergeCell ref="D3268:L3268"/>
    <mergeCell ref="A3269:C3269"/>
    <mergeCell ref="D3269:L3269"/>
    <mergeCell ref="A3270:C3270"/>
    <mergeCell ref="D3270:L3270"/>
    <mergeCell ref="G3264:I3264"/>
    <mergeCell ref="A3265:L3265"/>
    <mergeCell ref="A3266:C3266"/>
    <mergeCell ref="D3266:L3266"/>
    <mergeCell ref="A3267:C3267"/>
    <mergeCell ref="D3267:L3267"/>
    <mergeCell ref="B3258:D3258"/>
    <mergeCell ref="B3259:D3259"/>
    <mergeCell ref="B3260:D3260"/>
    <mergeCell ref="F3261:F3262"/>
    <mergeCell ref="G3261:J3261"/>
    <mergeCell ref="G3262:J3262"/>
    <mergeCell ref="B3252:D3252"/>
    <mergeCell ref="B3253:D3253"/>
    <mergeCell ref="B3254:D3254"/>
    <mergeCell ref="B3255:D3255"/>
    <mergeCell ref="B3256:D3256"/>
    <mergeCell ref="B3257:D3257"/>
    <mergeCell ref="A3249:L3249"/>
    <mergeCell ref="C3250:D3250"/>
    <mergeCell ref="J3250:L3250"/>
    <mergeCell ref="B3251:D3251"/>
    <mergeCell ref="G3251:H3251"/>
    <mergeCell ref="K3251:L3251"/>
    <mergeCell ref="B3242:D3242"/>
    <mergeCell ref="B3243:D3243"/>
    <mergeCell ref="B3244:D3244"/>
    <mergeCell ref="F3245:F3246"/>
    <mergeCell ref="G3245:J3245"/>
    <mergeCell ref="G3246:J3246"/>
    <mergeCell ref="A3239:L3239"/>
    <mergeCell ref="C3240:D3240"/>
    <mergeCell ref="J3240:L3240"/>
    <mergeCell ref="B3241:D3241"/>
    <mergeCell ref="G3241:H3241"/>
    <mergeCell ref="K3241:L3241"/>
    <mergeCell ref="B3232:D3232"/>
    <mergeCell ref="B3233:D3233"/>
    <mergeCell ref="B3234:D3234"/>
    <mergeCell ref="F3235:F3236"/>
    <mergeCell ref="G3235:J3235"/>
    <mergeCell ref="G3236:J3236"/>
    <mergeCell ref="A3229:L3229"/>
    <mergeCell ref="C3230:D3230"/>
    <mergeCell ref="J3230:L3230"/>
    <mergeCell ref="B3231:D3231"/>
    <mergeCell ref="G3231:H3231"/>
    <mergeCell ref="K3231:L3231"/>
    <mergeCell ref="B3220:D3220"/>
    <mergeCell ref="B3222:D3222"/>
    <mergeCell ref="B3223:D3223"/>
    <mergeCell ref="B3224:D3224"/>
    <mergeCell ref="F3225:F3226"/>
    <mergeCell ref="G3225:J3225"/>
    <mergeCell ref="G3226:J3226"/>
    <mergeCell ref="A3217:L3217"/>
    <mergeCell ref="C3218:D3218"/>
    <mergeCell ref="J3218:L3218"/>
    <mergeCell ref="B3219:D3219"/>
    <mergeCell ref="G3219:H3219"/>
    <mergeCell ref="K3219:L3219"/>
    <mergeCell ref="B3210:D3210"/>
    <mergeCell ref="B3211:D3211"/>
    <mergeCell ref="B3212:D3212"/>
    <mergeCell ref="F3213:F3214"/>
    <mergeCell ref="G3213:J3213"/>
    <mergeCell ref="G3214:J3214"/>
    <mergeCell ref="A3207:L3207"/>
    <mergeCell ref="C3208:D3208"/>
    <mergeCell ref="J3208:L3208"/>
    <mergeCell ref="B3209:D3209"/>
    <mergeCell ref="G3209:H3209"/>
    <mergeCell ref="K3209:L3209"/>
    <mergeCell ref="B3200:D3200"/>
    <mergeCell ref="B3201:D3201"/>
    <mergeCell ref="B3202:D3202"/>
    <mergeCell ref="F3203:F3204"/>
    <mergeCell ref="G3203:J3203"/>
    <mergeCell ref="G3204:J3204"/>
    <mergeCell ref="A3197:L3197"/>
    <mergeCell ref="C3198:D3198"/>
    <mergeCell ref="J3198:L3198"/>
    <mergeCell ref="B3199:D3199"/>
    <mergeCell ref="G3199:H3199"/>
    <mergeCell ref="K3199:L3199"/>
    <mergeCell ref="A3194:C3194"/>
    <mergeCell ref="D3194:L3194"/>
    <mergeCell ref="A3195:C3195"/>
    <mergeCell ref="D3195:L3195"/>
    <mergeCell ref="A3196:C3196"/>
    <mergeCell ref="D3196:L3196"/>
    <mergeCell ref="A3191:C3191"/>
    <mergeCell ref="D3191:L3191"/>
    <mergeCell ref="A3192:C3192"/>
    <mergeCell ref="D3192:L3192"/>
    <mergeCell ref="A3193:C3193"/>
    <mergeCell ref="D3193:L3193"/>
    <mergeCell ref="A3188:C3188"/>
    <mergeCell ref="D3188:L3188"/>
    <mergeCell ref="A3189:C3189"/>
    <mergeCell ref="D3189:L3189"/>
    <mergeCell ref="A3190:C3190"/>
    <mergeCell ref="D3190:L3190"/>
    <mergeCell ref="B3180:D3180"/>
    <mergeCell ref="B3181:D3181"/>
    <mergeCell ref="F3183:F3184"/>
    <mergeCell ref="G3183:J3183"/>
    <mergeCell ref="G3184:J3184"/>
    <mergeCell ref="A3187:L3187"/>
    <mergeCell ref="B3174:D3174"/>
    <mergeCell ref="B3175:D3175"/>
    <mergeCell ref="B3176:D3176"/>
    <mergeCell ref="B3177:D3177"/>
    <mergeCell ref="B3178:D3178"/>
    <mergeCell ref="B3179:D3179"/>
    <mergeCell ref="G3169:H3169"/>
    <mergeCell ref="K3169:L3169"/>
    <mergeCell ref="B3170:D3170"/>
    <mergeCell ref="B3171:D3171"/>
    <mergeCell ref="B3172:D3172"/>
    <mergeCell ref="B3173:D3173"/>
    <mergeCell ref="A3165:C3165"/>
    <mergeCell ref="D3165:L3165"/>
    <mergeCell ref="A3166:C3166"/>
    <mergeCell ref="D3166:L3166"/>
    <mergeCell ref="A3167:L3167"/>
    <mergeCell ref="C3168:D3168"/>
    <mergeCell ref="J3168:L3168"/>
    <mergeCell ref="A3162:C3162"/>
    <mergeCell ref="D3162:L3162"/>
    <mergeCell ref="A3163:C3163"/>
    <mergeCell ref="D3163:L3163"/>
    <mergeCell ref="A3164:C3164"/>
    <mergeCell ref="D3164:L3164"/>
    <mergeCell ref="A3159:C3159"/>
    <mergeCell ref="D3159:L3159"/>
    <mergeCell ref="A3160:C3160"/>
    <mergeCell ref="D3160:L3160"/>
    <mergeCell ref="A3161:C3161"/>
    <mergeCell ref="D3161:L3161"/>
    <mergeCell ref="F3153:F3154"/>
    <mergeCell ref="G3153:J3153"/>
    <mergeCell ref="G3154:J3154"/>
    <mergeCell ref="A3155:H3155"/>
    <mergeCell ref="A3157:L3157"/>
    <mergeCell ref="A3158:C3158"/>
    <mergeCell ref="D3158:L3158"/>
    <mergeCell ref="G3147:H3147"/>
    <mergeCell ref="K3147:L3147"/>
    <mergeCell ref="B3148:D3148"/>
    <mergeCell ref="B3149:D3149"/>
    <mergeCell ref="B3150:D3150"/>
    <mergeCell ref="B3151:D3151"/>
    <mergeCell ref="F3141:F3142"/>
    <mergeCell ref="G3141:J3141"/>
    <mergeCell ref="G3142:J3142"/>
    <mergeCell ref="A3145:L3145"/>
    <mergeCell ref="C3146:D3146"/>
    <mergeCell ref="J3146:L3146"/>
    <mergeCell ref="B3137:D3137"/>
    <mergeCell ref="G3137:H3137"/>
    <mergeCell ref="K3137:L3137"/>
    <mergeCell ref="B3138:D3138"/>
    <mergeCell ref="B3139:D3139"/>
    <mergeCell ref="B3140:D3140"/>
    <mergeCell ref="F3131:F3132"/>
    <mergeCell ref="G3131:J3131"/>
    <mergeCell ref="G3132:J3132"/>
    <mergeCell ref="A3135:L3135"/>
    <mergeCell ref="C3136:D3136"/>
    <mergeCell ref="J3136:L3136"/>
    <mergeCell ref="B3126:D3126"/>
    <mergeCell ref="G3126:H3126"/>
    <mergeCell ref="K3126:L3126"/>
    <mergeCell ref="B3127:D3127"/>
    <mergeCell ref="B3128:D3128"/>
    <mergeCell ref="B3129:D3129"/>
    <mergeCell ref="B3130:D3130"/>
    <mergeCell ref="F3120:F3121"/>
    <mergeCell ref="G3120:J3120"/>
    <mergeCell ref="G3121:J3121"/>
    <mergeCell ref="A3124:L3124"/>
    <mergeCell ref="C3125:D3125"/>
    <mergeCell ref="J3125:L3125"/>
    <mergeCell ref="B3116:D3116"/>
    <mergeCell ref="G3116:H3116"/>
    <mergeCell ref="K3116:L3116"/>
    <mergeCell ref="B3117:D3117"/>
    <mergeCell ref="B3118:D3118"/>
    <mergeCell ref="B3119:D3119"/>
    <mergeCell ref="F3110:F3111"/>
    <mergeCell ref="G3110:J3110"/>
    <mergeCell ref="G3111:J3111"/>
    <mergeCell ref="A3114:L3114"/>
    <mergeCell ref="C3115:D3115"/>
    <mergeCell ref="J3115:L3115"/>
    <mergeCell ref="B3106:D3106"/>
    <mergeCell ref="G3106:H3106"/>
    <mergeCell ref="K3106:L3106"/>
    <mergeCell ref="B3107:D3107"/>
    <mergeCell ref="B3108:D3108"/>
    <mergeCell ref="B3109:D3109"/>
    <mergeCell ref="A3102:C3102"/>
    <mergeCell ref="D3102:L3102"/>
    <mergeCell ref="A3103:C3103"/>
    <mergeCell ref="D3103:L3103"/>
    <mergeCell ref="A3104:L3104"/>
    <mergeCell ref="C3105:D3105"/>
    <mergeCell ref="J3105:L3105"/>
    <mergeCell ref="A3099:C3099"/>
    <mergeCell ref="D3099:L3099"/>
    <mergeCell ref="A3100:C3100"/>
    <mergeCell ref="D3100:L3100"/>
    <mergeCell ref="A3101:C3101"/>
    <mergeCell ref="D3101:L3101"/>
    <mergeCell ref="A3096:C3096"/>
    <mergeCell ref="D3096:L3096"/>
    <mergeCell ref="A3097:C3097"/>
    <mergeCell ref="D3097:L3097"/>
    <mergeCell ref="A3098:C3098"/>
    <mergeCell ref="D3098:L3098"/>
    <mergeCell ref="B3089:D3089"/>
    <mergeCell ref="F3090:F3091"/>
    <mergeCell ref="G3090:J3090"/>
    <mergeCell ref="G3091:J3091"/>
    <mergeCell ref="A3094:L3094"/>
    <mergeCell ref="A3095:C3095"/>
    <mergeCell ref="D3095:L3095"/>
    <mergeCell ref="B3086:D3086"/>
    <mergeCell ref="G3086:H3086"/>
    <mergeCell ref="K3086:L3086"/>
    <mergeCell ref="B3087:D3087"/>
    <mergeCell ref="B3088:D3088"/>
    <mergeCell ref="A3082:C3082"/>
    <mergeCell ref="D3082:L3082"/>
    <mergeCell ref="A3083:C3083"/>
    <mergeCell ref="D3083:L3083"/>
    <mergeCell ref="A3084:L3084"/>
    <mergeCell ref="C3085:D3085"/>
    <mergeCell ref="J3085:L3085"/>
    <mergeCell ref="A3079:C3079"/>
    <mergeCell ref="D3079:L3079"/>
    <mergeCell ref="A3080:C3080"/>
    <mergeCell ref="D3080:L3080"/>
    <mergeCell ref="A3081:C3081"/>
    <mergeCell ref="D3081:L3081"/>
    <mergeCell ref="A3076:C3076"/>
    <mergeCell ref="D3076:L3076"/>
    <mergeCell ref="A3077:C3077"/>
    <mergeCell ref="D3077:L3077"/>
    <mergeCell ref="A3078:C3078"/>
    <mergeCell ref="D3078:L3078"/>
    <mergeCell ref="F3070:F3071"/>
    <mergeCell ref="G3070:J3070"/>
    <mergeCell ref="G3071:J3071"/>
    <mergeCell ref="A3074:L3074"/>
    <mergeCell ref="A3075:C3075"/>
    <mergeCell ref="D3075:L3075"/>
    <mergeCell ref="B3064:D3064"/>
    <mergeCell ref="B3065:D3065"/>
    <mergeCell ref="B3066:D3066"/>
    <mergeCell ref="B3067:D3067"/>
    <mergeCell ref="B3068:D3068"/>
    <mergeCell ref="B3069:D3069"/>
    <mergeCell ref="B3060:D3060"/>
    <mergeCell ref="G3060:H3060"/>
    <mergeCell ref="K3060:L3060"/>
    <mergeCell ref="B3061:D3061"/>
    <mergeCell ref="B3062:D3062"/>
    <mergeCell ref="B3063:D3063"/>
    <mergeCell ref="B3056:D3056"/>
    <mergeCell ref="I3056:J3056"/>
    <mergeCell ref="B3057:D3057"/>
    <mergeCell ref="A3058:L3058"/>
    <mergeCell ref="C3059:D3059"/>
    <mergeCell ref="J3059:L3059"/>
    <mergeCell ref="B3052:D3052"/>
    <mergeCell ref="A3053:L3053"/>
    <mergeCell ref="C3054:D3054"/>
    <mergeCell ref="J3054:L3054"/>
    <mergeCell ref="B3055:D3055"/>
    <mergeCell ref="G3055:H3055"/>
    <mergeCell ref="I3055:J3055"/>
    <mergeCell ref="K3055:L3055"/>
    <mergeCell ref="B3049:D3049"/>
    <mergeCell ref="I3049:J3049"/>
    <mergeCell ref="B3050:D3050"/>
    <mergeCell ref="I3050:J3050"/>
    <mergeCell ref="B3051:D3051"/>
    <mergeCell ref="I3051:J3051"/>
    <mergeCell ref="B3047:D3047"/>
    <mergeCell ref="G3047:H3047"/>
    <mergeCell ref="I3047:J3047"/>
    <mergeCell ref="K3047:L3047"/>
    <mergeCell ref="B3048:D3048"/>
    <mergeCell ref="I3048:J3048"/>
    <mergeCell ref="F3041:F3042"/>
    <mergeCell ref="G3041:J3041"/>
    <mergeCell ref="G3042:J3042"/>
    <mergeCell ref="A3045:L3045"/>
    <mergeCell ref="C3046:D3046"/>
    <mergeCell ref="J3046:L3046"/>
    <mergeCell ref="B3037:D3037"/>
    <mergeCell ref="G3037:H3037"/>
    <mergeCell ref="K3037:L3037"/>
    <mergeCell ref="B3038:D3038"/>
    <mergeCell ref="B3039:D3039"/>
    <mergeCell ref="B3040:D3040"/>
    <mergeCell ref="F3031:F3032"/>
    <mergeCell ref="G3031:J3031"/>
    <mergeCell ref="G3032:J3032"/>
    <mergeCell ref="A3035:L3035"/>
    <mergeCell ref="C3036:D3036"/>
    <mergeCell ref="J3036:L3036"/>
    <mergeCell ref="B3027:D3027"/>
    <mergeCell ref="G3027:H3027"/>
    <mergeCell ref="K3027:L3027"/>
    <mergeCell ref="B3028:D3028"/>
    <mergeCell ref="B3029:D3029"/>
    <mergeCell ref="B3030:D3030"/>
    <mergeCell ref="B3023:D3023"/>
    <mergeCell ref="I3023:J3023"/>
    <mergeCell ref="B3024:D3024"/>
    <mergeCell ref="E3024:H3024"/>
    <mergeCell ref="A3025:L3025"/>
    <mergeCell ref="C3026:D3026"/>
    <mergeCell ref="J3026:L3026"/>
    <mergeCell ref="B3019:D3019"/>
    <mergeCell ref="E3019:H3019"/>
    <mergeCell ref="A3020:L3020"/>
    <mergeCell ref="C3021:D3021"/>
    <mergeCell ref="J3021:L3021"/>
    <mergeCell ref="B3022:D3022"/>
    <mergeCell ref="I3022:J3022"/>
    <mergeCell ref="K3022:L3022"/>
    <mergeCell ref="C3016:D3016"/>
    <mergeCell ref="J3016:L3016"/>
    <mergeCell ref="B3017:D3017"/>
    <mergeCell ref="I3017:J3017"/>
    <mergeCell ref="K3017:L3017"/>
    <mergeCell ref="B3018:D3018"/>
    <mergeCell ref="I3018:J3018"/>
    <mergeCell ref="B3009:D3009"/>
    <mergeCell ref="B3010:D3010"/>
    <mergeCell ref="F3011:F3012"/>
    <mergeCell ref="G3011:J3011"/>
    <mergeCell ref="G3012:J3012"/>
    <mergeCell ref="A3015:L3015"/>
    <mergeCell ref="A3006:L3006"/>
    <mergeCell ref="C3007:D3007"/>
    <mergeCell ref="J3007:L3007"/>
    <mergeCell ref="B3008:D3008"/>
    <mergeCell ref="G3008:H3008"/>
    <mergeCell ref="K3008:L3008"/>
    <mergeCell ref="B2999:D2999"/>
    <mergeCell ref="B3000:D3000"/>
    <mergeCell ref="B3001:D3001"/>
    <mergeCell ref="F3002:F3003"/>
    <mergeCell ref="G3002:J3002"/>
    <mergeCell ref="G3003:J3003"/>
    <mergeCell ref="A2996:L2996"/>
    <mergeCell ref="C2997:D2997"/>
    <mergeCell ref="J2997:L2997"/>
    <mergeCell ref="B2998:D2998"/>
    <mergeCell ref="G2998:H2998"/>
    <mergeCell ref="K2998:L2998"/>
    <mergeCell ref="B2989:D2989"/>
    <mergeCell ref="B2990:D2990"/>
    <mergeCell ref="B2991:D2991"/>
    <mergeCell ref="F2992:F2993"/>
    <mergeCell ref="G2992:J2992"/>
    <mergeCell ref="G2993:J2993"/>
    <mergeCell ref="B2985:D2985"/>
    <mergeCell ref="E2985:H2985"/>
    <mergeCell ref="A2986:L2986"/>
    <mergeCell ref="C2987:D2987"/>
    <mergeCell ref="J2987:L2987"/>
    <mergeCell ref="B2988:D2988"/>
    <mergeCell ref="G2988:H2988"/>
    <mergeCell ref="K2988:L2988"/>
    <mergeCell ref="B2983:D2983"/>
    <mergeCell ref="I2983:J2983"/>
    <mergeCell ref="K2983:L2983"/>
    <mergeCell ref="B2984:D2984"/>
    <mergeCell ref="I2984:J2984"/>
    <mergeCell ref="A2979:C2979"/>
    <mergeCell ref="D2979:L2979"/>
    <mergeCell ref="A2980:C2980"/>
    <mergeCell ref="D2980:L2980"/>
    <mergeCell ref="A2981:L2981"/>
    <mergeCell ref="C2982:D2982"/>
    <mergeCell ref="J2982:L2982"/>
    <mergeCell ref="A2976:C2976"/>
    <mergeCell ref="D2976:L2976"/>
    <mergeCell ref="A2977:C2977"/>
    <mergeCell ref="D2977:L2977"/>
    <mergeCell ref="A2978:C2978"/>
    <mergeCell ref="D2978:L2978"/>
    <mergeCell ref="A2973:C2973"/>
    <mergeCell ref="D2973:L2973"/>
    <mergeCell ref="A2974:C2974"/>
    <mergeCell ref="D2974:L2974"/>
    <mergeCell ref="A2975:C2975"/>
    <mergeCell ref="D2975:L2975"/>
    <mergeCell ref="F2967:F2968"/>
    <mergeCell ref="G2967:J2967"/>
    <mergeCell ref="G2968:J2968"/>
    <mergeCell ref="A2971:L2971"/>
    <mergeCell ref="A2972:C2972"/>
    <mergeCell ref="D2972:L2972"/>
    <mergeCell ref="B2962:D2962"/>
    <mergeCell ref="B2963:D2963"/>
    <mergeCell ref="G2964:J2964"/>
    <mergeCell ref="B2965:D2965"/>
    <mergeCell ref="B2966:D2966"/>
    <mergeCell ref="A2959:L2959"/>
    <mergeCell ref="C2960:D2960"/>
    <mergeCell ref="J2960:L2960"/>
    <mergeCell ref="B2961:D2961"/>
    <mergeCell ref="G2961:H2961"/>
    <mergeCell ref="K2961:L2961"/>
    <mergeCell ref="B2956:D2956"/>
    <mergeCell ref="I2956:J2956"/>
    <mergeCell ref="K2956:L2956"/>
    <mergeCell ref="B2957:D2957"/>
    <mergeCell ref="I2957:J2957"/>
    <mergeCell ref="B2958:D2958"/>
    <mergeCell ref="E2958:H2958"/>
    <mergeCell ref="B2952:D2952"/>
    <mergeCell ref="I2952:J2952"/>
    <mergeCell ref="B2953:D2953"/>
    <mergeCell ref="E2953:H2953"/>
    <mergeCell ref="A2954:L2954"/>
    <mergeCell ref="C2955:D2955"/>
    <mergeCell ref="J2955:L2955"/>
    <mergeCell ref="A2949:L2949"/>
    <mergeCell ref="C2950:D2950"/>
    <mergeCell ref="J2950:L2950"/>
    <mergeCell ref="B2951:D2951"/>
    <mergeCell ref="I2951:J2951"/>
    <mergeCell ref="K2951:L2951"/>
    <mergeCell ref="A2946:C2946"/>
    <mergeCell ref="D2946:L2946"/>
    <mergeCell ref="A2947:C2947"/>
    <mergeCell ref="D2947:L2947"/>
    <mergeCell ref="A2948:C2948"/>
    <mergeCell ref="D2948:L2948"/>
    <mergeCell ref="A2943:C2943"/>
    <mergeCell ref="D2943:L2943"/>
    <mergeCell ref="A2944:C2944"/>
    <mergeCell ref="D2944:L2944"/>
    <mergeCell ref="A2945:C2945"/>
    <mergeCell ref="D2945:L2945"/>
    <mergeCell ref="A2939:L2939"/>
    <mergeCell ref="A2940:C2940"/>
    <mergeCell ref="D2940:L2940"/>
    <mergeCell ref="A2941:C2941"/>
    <mergeCell ref="D2941:L2941"/>
    <mergeCell ref="A2942:C2942"/>
    <mergeCell ref="D2942:L2942"/>
    <mergeCell ref="B2932:D2932"/>
    <mergeCell ref="B2933:D2933"/>
    <mergeCell ref="B2934:D2934"/>
    <mergeCell ref="F2935:F2936"/>
    <mergeCell ref="G2935:J2935"/>
    <mergeCell ref="G2936:J2936"/>
    <mergeCell ref="B2926:D2926"/>
    <mergeCell ref="B2927:D2927"/>
    <mergeCell ref="B2928:D2928"/>
    <mergeCell ref="B2929:D2929"/>
    <mergeCell ref="B2930:D2930"/>
    <mergeCell ref="B2931:D2931"/>
    <mergeCell ref="C2923:D2923"/>
    <mergeCell ref="J2923:L2923"/>
    <mergeCell ref="B2924:D2924"/>
    <mergeCell ref="G2924:H2924"/>
    <mergeCell ref="K2924:L2924"/>
    <mergeCell ref="B2925:D2925"/>
    <mergeCell ref="B2920:D2920"/>
    <mergeCell ref="I2920:J2920"/>
    <mergeCell ref="B2921:D2921"/>
    <mergeCell ref="E2921:H2921"/>
    <mergeCell ref="A2922:L2922"/>
    <mergeCell ref="B2916:D2916"/>
    <mergeCell ref="E2916:H2916"/>
    <mergeCell ref="A2917:L2917"/>
    <mergeCell ref="C2918:D2918"/>
    <mergeCell ref="J2918:L2918"/>
    <mergeCell ref="B2919:D2919"/>
    <mergeCell ref="I2919:J2919"/>
    <mergeCell ref="K2919:L2919"/>
    <mergeCell ref="C2913:D2913"/>
    <mergeCell ref="J2913:L2913"/>
    <mergeCell ref="B2914:D2914"/>
    <mergeCell ref="I2914:J2914"/>
    <mergeCell ref="K2914:L2914"/>
    <mergeCell ref="B2915:D2915"/>
    <mergeCell ref="I2915:J2915"/>
    <mergeCell ref="B2910:D2910"/>
    <mergeCell ref="I2910:J2910"/>
    <mergeCell ref="B2911:D2911"/>
    <mergeCell ref="E2911:H2911"/>
    <mergeCell ref="A2912:L2912"/>
    <mergeCell ref="B2906:D2906"/>
    <mergeCell ref="E2906:H2906"/>
    <mergeCell ref="A2907:L2907"/>
    <mergeCell ref="C2908:D2908"/>
    <mergeCell ref="J2908:L2908"/>
    <mergeCell ref="B2909:D2909"/>
    <mergeCell ref="I2909:J2909"/>
    <mergeCell ref="K2909:L2909"/>
    <mergeCell ref="C2903:D2903"/>
    <mergeCell ref="J2903:L2903"/>
    <mergeCell ref="B2904:D2904"/>
    <mergeCell ref="I2904:J2904"/>
    <mergeCell ref="K2904:L2904"/>
    <mergeCell ref="B2905:D2905"/>
    <mergeCell ref="I2905:J2905"/>
    <mergeCell ref="B2897:D2897"/>
    <mergeCell ref="F2898:F2899"/>
    <mergeCell ref="G2898:J2898"/>
    <mergeCell ref="G2899:J2899"/>
    <mergeCell ref="A2902:L2902"/>
    <mergeCell ref="B2894:D2894"/>
    <mergeCell ref="G2894:H2894"/>
    <mergeCell ref="K2894:L2894"/>
    <mergeCell ref="B2895:D2895"/>
    <mergeCell ref="B2896:D2896"/>
    <mergeCell ref="F2888:F2889"/>
    <mergeCell ref="G2888:J2888"/>
    <mergeCell ref="G2889:J2889"/>
    <mergeCell ref="A2892:L2892"/>
    <mergeCell ref="C2893:D2893"/>
    <mergeCell ref="J2893:L2893"/>
    <mergeCell ref="B2884:D2884"/>
    <mergeCell ref="G2884:H2884"/>
    <mergeCell ref="K2884:L2884"/>
    <mergeCell ref="B2885:D2885"/>
    <mergeCell ref="B2886:D2886"/>
    <mergeCell ref="B2887:D2887"/>
    <mergeCell ref="F2878:F2879"/>
    <mergeCell ref="G2878:J2878"/>
    <mergeCell ref="G2879:J2879"/>
    <mergeCell ref="A2882:L2882"/>
    <mergeCell ref="C2883:D2883"/>
    <mergeCell ref="J2883:L2883"/>
    <mergeCell ref="B2874:D2874"/>
    <mergeCell ref="G2874:H2874"/>
    <mergeCell ref="K2874:L2874"/>
    <mergeCell ref="B2875:D2875"/>
    <mergeCell ref="B2876:D2876"/>
    <mergeCell ref="B2877:D2877"/>
    <mergeCell ref="F2868:F2869"/>
    <mergeCell ref="G2868:J2868"/>
    <mergeCell ref="G2869:J2869"/>
    <mergeCell ref="A2872:L2872"/>
    <mergeCell ref="C2873:D2873"/>
    <mergeCell ref="J2873:L2873"/>
    <mergeCell ref="B2864:D2864"/>
    <mergeCell ref="G2864:H2864"/>
    <mergeCell ref="K2864:L2864"/>
    <mergeCell ref="B2865:D2865"/>
    <mergeCell ref="B2866:D2866"/>
    <mergeCell ref="B2867:D2867"/>
    <mergeCell ref="B2857:D2857"/>
    <mergeCell ref="F2858:F2859"/>
    <mergeCell ref="G2858:J2858"/>
    <mergeCell ref="G2859:J2859"/>
    <mergeCell ref="A2862:L2862"/>
    <mergeCell ref="C2863:D2863"/>
    <mergeCell ref="J2863:L2863"/>
    <mergeCell ref="A2854:L2854"/>
    <mergeCell ref="C2855:D2855"/>
    <mergeCell ref="J2855:L2855"/>
    <mergeCell ref="B2856:D2856"/>
    <mergeCell ref="G2856:H2856"/>
    <mergeCell ref="K2856:L2856"/>
    <mergeCell ref="B2848:D2848"/>
    <mergeCell ref="B2849:D2849"/>
    <mergeCell ref="F2850:F2851"/>
    <mergeCell ref="G2850:J2850"/>
    <mergeCell ref="G2851:J2851"/>
    <mergeCell ref="A2845:L2845"/>
    <mergeCell ref="C2846:D2846"/>
    <mergeCell ref="J2846:L2846"/>
    <mergeCell ref="B2847:D2847"/>
    <mergeCell ref="G2847:H2847"/>
    <mergeCell ref="K2847:L2847"/>
    <mergeCell ref="B2838:D2838"/>
    <mergeCell ref="G2838:H2838"/>
    <mergeCell ref="K2838:L2838"/>
    <mergeCell ref="B2839:D2839"/>
    <mergeCell ref="B2840:D2840"/>
    <mergeCell ref="F2841:F2842"/>
    <mergeCell ref="G2841:J2841"/>
    <mergeCell ref="G2842:J2842"/>
    <mergeCell ref="B2834:D2834"/>
    <mergeCell ref="I2834:J2834"/>
    <mergeCell ref="A2836:L2836"/>
    <mergeCell ref="C2837:D2837"/>
    <mergeCell ref="J2837:L2837"/>
    <mergeCell ref="B2831:D2831"/>
    <mergeCell ref="I2831:J2831"/>
    <mergeCell ref="B2832:D2832"/>
    <mergeCell ref="I2832:J2832"/>
    <mergeCell ref="B2833:D2833"/>
    <mergeCell ref="I2833:J2833"/>
    <mergeCell ref="B2828:D2828"/>
    <mergeCell ref="I2828:J2828"/>
    <mergeCell ref="B2829:D2829"/>
    <mergeCell ref="I2829:J2829"/>
    <mergeCell ref="B2830:D2830"/>
    <mergeCell ref="I2830:J2830"/>
    <mergeCell ref="A2825:L2825"/>
    <mergeCell ref="C2826:D2826"/>
    <mergeCell ref="J2826:L2826"/>
    <mergeCell ref="B2827:D2827"/>
    <mergeCell ref="I2827:J2827"/>
    <mergeCell ref="K2827:L2827"/>
    <mergeCell ref="B2818:D2818"/>
    <mergeCell ref="B2819:D2819"/>
    <mergeCell ref="B2820:D2820"/>
    <mergeCell ref="F2821:F2822"/>
    <mergeCell ref="G2821:J2821"/>
    <mergeCell ref="G2822:J2822"/>
    <mergeCell ref="A2815:L2815"/>
    <mergeCell ref="C2816:D2816"/>
    <mergeCell ref="J2816:L2816"/>
    <mergeCell ref="B2817:D2817"/>
    <mergeCell ref="G2817:H2817"/>
    <mergeCell ref="K2817:L2817"/>
    <mergeCell ref="B2811:D2811"/>
    <mergeCell ref="I2811:J2811"/>
    <mergeCell ref="B2812:D2812"/>
    <mergeCell ref="I2812:J2812"/>
    <mergeCell ref="B2814:D2814"/>
    <mergeCell ref="E2814:H2814"/>
    <mergeCell ref="B2807:D2807"/>
    <mergeCell ref="E2807:H2807"/>
    <mergeCell ref="A2808:L2808"/>
    <mergeCell ref="C2809:D2809"/>
    <mergeCell ref="J2809:L2809"/>
    <mergeCell ref="B2810:D2810"/>
    <mergeCell ref="I2810:J2810"/>
    <mergeCell ref="K2810:L2810"/>
    <mergeCell ref="B2805:D2805"/>
    <mergeCell ref="I2805:J2805"/>
    <mergeCell ref="K2805:L2805"/>
    <mergeCell ref="B2806:D2806"/>
    <mergeCell ref="I2806:J2806"/>
    <mergeCell ref="B2790:D2790"/>
    <mergeCell ref="I2790:J2790"/>
    <mergeCell ref="B2791:D2791"/>
    <mergeCell ref="A2792:L2792"/>
    <mergeCell ref="C2804:D2804"/>
    <mergeCell ref="J2804:L2804"/>
    <mergeCell ref="B2795:D2795"/>
    <mergeCell ref="B2796:D2796"/>
    <mergeCell ref="B2798:D2798"/>
    <mergeCell ref="F2799:F2800"/>
    <mergeCell ref="C2788:D2788"/>
    <mergeCell ref="J2788:L2788"/>
    <mergeCell ref="B2789:D2789"/>
    <mergeCell ref="G2789:H2789"/>
    <mergeCell ref="I2789:J2789"/>
    <mergeCell ref="K2789:L2789"/>
    <mergeCell ref="B2785:D2785"/>
    <mergeCell ref="G2785:H2785"/>
    <mergeCell ref="I2785:J2785"/>
    <mergeCell ref="B2786:D2786"/>
    <mergeCell ref="E2786:H2786"/>
    <mergeCell ref="A2787:L2787"/>
    <mergeCell ref="A2782:L2782"/>
    <mergeCell ref="C2783:D2783"/>
    <mergeCell ref="J2783:L2783"/>
    <mergeCell ref="B2784:D2784"/>
    <mergeCell ref="G2784:H2784"/>
    <mergeCell ref="I2784:J2784"/>
    <mergeCell ref="K2784:L2784"/>
    <mergeCell ref="B2776:D2776"/>
    <mergeCell ref="B2777:D2777"/>
    <mergeCell ref="F2778:F2779"/>
    <mergeCell ref="G2778:J2778"/>
    <mergeCell ref="G2779:J2779"/>
    <mergeCell ref="C2773:D2773"/>
    <mergeCell ref="J2773:L2773"/>
    <mergeCell ref="B2774:D2774"/>
    <mergeCell ref="G2774:H2774"/>
    <mergeCell ref="K2774:L2774"/>
    <mergeCell ref="B2775:D2775"/>
    <mergeCell ref="B2770:D2770"/>
    <mergeCell ref="I2770:J2770"/>
    <mergeCell ref="B2771:D2771"/>
    <mergeCell ref="E2771:H2771"/>
    <mergeCell ref="A2772:L2772"/>
    <mergeCell ref="C2768:D2768"/>
    <mergeCell ref="J2768:L2768"/>
    <mergeCell ref="B2769:D2769"/>
    <mergeCell ref="I2769:J2769"/>
    <mergeCell ref="K2769:L2769"/>
    <mergeCell ref="B2765:D2765"/>
    <mergeCell ref="I2765:J2765"/>
    <mergeCell ref="B2766:D2766"/>
    <mergeCell ref="E2766:H2766"/>
    <mergeCell ref="A2767:L2767"/>
    <mergeCell ref="A2762:L2762"/>
    <mergeCell ref="C2763:D2763"/>
    <mergeCell ref="J2763:L2763"/>
    <mergeCell ref="B2764:D2764"/>
    <mergeCell ref="I2764:J2764"/>
    <mergeCell ref="K2764:L2764"/>
    <mergeCell ref="B2759:D2759"/>
    <mergeCell ref="I2759:J2759"/>
    <mergeCell ref="K2759:L2759"/>
    <mergeCell ref="B2760:D2760"/>
    <mergeCell ref="I2760:J2760"/>
    <mergeCell ref="B2761:D2761"/>
    <mergeCell ref="E2761:H2761"/>
    <mergeCell ref="B2755:D2755"/>
    <mergeCell ref="I2755:J2755"/>
    <mergeCell ref="B2756:D2756"/>
    <mergeCell ref="E2756:H2756"/>
    <mergeCell ref="A2757:L2757"/>
    <mergeCell ref="C2758:D2758"/>
    <mergeCell ref="J2758:L2758"/>
    <mergeCell ref="B2751:D2751"/>
    <mergeCell ref="E2751:H2751"/>
    <mergeCell ref="A2752:L2752"/>
    <mergeCell ref="C2753:D2753"/>
    <mergeCell ref="J2753:L2753"/>
    <mergeCell ref="B2754:D2754"/>
    <mergeCell ref="I2754:J2754"/>
    <mergeCell ref="K2754:L2754"/>
    <mergeCell ref="C2748:D2748"/>
    <mergeCell ref="J2748:L2748"/>
    <mergeCell ref="B2749:D2749"/>
    <mergeCell ref="I2749:J2749"/>
    <mergeCell ref="K2749:L2749"/>
    <mergeCell ref="B2750:D2750"/>
    <mergeCell ref="I2750:J2750"/>
    <mergeCell ref="B2745:D2745"/>
    <mergeCell ref="I2745:J2745"/>
    <mergeCell ref="B2746:D2746"/>
    <mergeCell ref="E2746:H2746"/>
    <mergeCell ref="A2747:L2747"/>
    <mergeCell ref="C2743:D2743"/>
    <mergeCell ref="J2743:L2743"/>
    <mergeCell ref="B2744:D2744"/>
    <mergeCell ref="I2744:J2744"/>
    <mergeCell ref="K2744:L2744"/>
    <mergeCell ref="B2737:D2737"/>
    <mergeCell ref="B2738:D2738"/>
    <mergeCell ref="F2738:F2739"/>
    <mergeCell ref="G2738:J2738"/>
    <mergeCell ref="G2739:J2739"/>
    <mergeCell ref="A2742:L2742"/>
    <mergeCell ref="B2734:D2734"/>
    <mergeCell ref="G2734:H2734"/>
    <mergeCell ref="K2734:L2734"/>
    <mergeCell ref="B2735:D2735"/>
    <mergeCell ref="B2736:D2736"/>
    <mergeCell ref="G2728:J2728"/>
    <mergeCell ref="B2729:D2729"/>
    <mergeCell ref="G2729:J2729"/>
    <mergeCell ref="A2732:L2732"/>
    <mergeCell ref="C2733:D2733"/>
    <mergeCell ref="J2733:L2733"/>
    <mergeCell ref="B2724:D2724"/>
    <mergeCell ref="B2725:D2725"/>
    <mergeCell ref="B2726:D2726"/>
    <mergeCell ref="B2727:D2727"/>
    <mergeCell ref="B2728:D2728"/>
    <mergeCell ref="F2728:F2729"/>
    <mergeCell ref="A2721:L2721"/>
    <mergeCell ref="C2722:D2722"/>
    <mergeCell ref="J2722:L2722"/>
    <mergeCell ref="B2723:D2723"/>
    <mergeCell ref="G2723:H2723"/>
    <mergeCell ref="K2723:L2723"/>
    <mergeCell ref="B2714:D2714"/>
    <mergeCell ref="B2715:D2715"/>
    <mergeCell ref="B2716:D2716"/>
    <mergeCell ref="B2717:D2717"/>
    <mergeCell ref="F2717:F2718"/>
    <mergeCell ref="G2717:J2717"/>
    <mergeCell ref="B2718:D2718"/>
    <mergeCell ref="G2718:J2718"/>
    <mergeCell ref="A2711:L2711"/>
    <mergeCell ref="C2712:D2712"/>
    <mergeCell ref="J2712:L2712"/>
    <mergeCell ref="B2713:D2713"/>
    <mergeCell ref="G2713:H2713"/>
    <mergeCell ref="K2713:L2713"/>
    <mergeCell ref="B2704:D2704"/>
    <mergeCell ref="B2705:D2705"/>
    <mergeCell ref="B2706:D2706"/>
    <mergeCell ref="F2707:F2708"/>
    <mergeCell ref="G2707:J2707"/>
    <mergeCell ref="G2708:J2708"/>
    <mergeCell ref="A2700:C2700"/>
    <mergeCell ref="D2700:L2700"/>
    <mergeCell ref="A2701:L2701"/>
    <mergeCell ref="C2702:D2702"/>
    <mergeCell ref="J2702:L2702"/>
    <mergeCell ref="B2703:D2703"/>
    <mergeCell ref="G2703:H2703"/>
    <mergeCell ref="K2703:L2703"/>
    <mergeCell ref="A2697:C2697"/>
    <mergeCell ref="D2697:L2697"/>
    <mergeCell ref="A2698:C2698"/>
    <mergeCell ref="D2698:L2698"/>
    <mergeCell ref="A2699:C2699"/>
    <mergeCell ref="D2699:L2699"/>
    <mergeCell ref="A2694:C2694"/>
    <mergeCell ref="D2694:L2694"/>
    <mergeCell ref="A2695:C2695"/>
    <mergeCell ref="D2695:L2695"/>
    <mergeCell ref="A2696:C2696"/>
    <mergeCell ref="D2696:L2696"/>
    <mergeCell ref="G2687:J2687"/>
    <mergeCell ref="G2688:J2688"/>
    <mergeCell ref="A2691:L2691"/>
    <mergeCell ref="A2692:C2692"/>
    <mergeCell ref="D2692:L2692"/>
    <mergeCell ref="A2693:C2693"/>
    <mergeCell ref="D2693:L2693"/>
    <mergeCell ref="B2681:D2681"/>
    <mergeCell ref="B2682:D2682"/>
    <mergeCell ref="B2684:D2684"/>
    <mergeCell ref="B2685:D2685"/>
    <mergeCell ref="B2686:D2686"/>
    <mergeCell ref="F2687:F2688"/>
    <mergeCell ref="B2677:D2677"/>
    <mergeCell ref="G2677:H2677"/>
    <mergeCell ref="K2677:L2677"/>
    <mergeCell ref="B2678:D2678"/>
    <mergeCell ref="B2679:D2679"/>
    <mergeCell ref="B2680:D2680"/>
    <mergeCell ref="B2673:D2673"/>
    <mergeCell ref="I2673:J2673"/>
    <mergeCell ref="B2674:D2674"/>
    <mergeCell ref="A2675:L2675"/>
    <mergeCell ref="C2676:D2676"/>
    <mergeCell ref="J2676:L2676"/>
    <mergeCell ref="C2671:D2671"/>
    <mergeCell ref="J2671:L2671"/>
    <mergeCell ref="B2672:D2672"/>
    <mergeCell ref="G2672:H2672"/>
    <mergeCell ref="I2672:J2672"/>
    <mergeCell ref="K2672:L2672"/>
    <mergeCell ref="F2666:F2667"/>
    <mergeCell ref="G2666:J2666"/>
    <mergeCell ref="G2667:J2667"/>
    <mergeCell ref="B2668:D2668"/>
    <mergeCell ref="I2668:J2668"/>
    <mergeCell ref="A2670:L2670"/>
    <mergeCell ref="B2661:D2661"/>
    <mergeCell ref="B2662:D2662"/>
    <mergeCell ref="B2663:D2663"/>
    <mergeCell ref="B2664:D2664"/>
    <mergeCell ref="H2664:J2664"/>
    <mergeCell ref="B2665:D2665"/>
    <mergeCell ref="A2658:L2658"/>
    <mergeCell ref="C2659:D2659"/>
    <mergeCell ref="J2659:L2659"/>
    <mergeCell ref="B2660:D2660"/>
    <mergeCell ref="G2660:H2660"/>
    <mergeCell ref="K2660:L2660"/>
    <mergeCell ref="F2654:F2655"/>
    <mergeCell ref="G2654:J2654"/>
    <mergeCell ref="G2655:J2655"/>
    <mergeCell ref="B2656:D2656"/>
    <mergeCell ref="B2657:D2657"/>
    <mergeCell ref="B2649:D2649"/>
    <mergeCell ref="B2650:D2650"/>
    <mergeCell ref="B2651:D2651"/>
    <mergeCell ref="B2652:D2652"/>
    <mergeCell ref="H2652:J2652"/>
    <mergeCell ref="B2653:D2653"/>
    <mergeCell ref="A2646:L2646"/>
    <mergeCell ref="C2647:D2647"/>
    <mergeCell ref="J2647:L2647"/>
    <mergeCell ref="B2648:D2648"/>
    <mergeCell ref="G2648:H2648"/>
    <mergeCell ref="K2648:L2648"/>
    <mergeCell ref="B2639:D2639"/>
    <mergeCell ref="B2640:D2640"/>
    <mergeCell ref="B2641:D2641"/>
    <mergeCell ref="B2642:D2642"/>
    <mergeCell ref="F2642:F2643"/>
    <mergeCell ref="G2642:J2642"/>
    <mergeCell ref="G2643:J2643"/>
    <mergeCell ref="A2636:L2636"/>
    <mergeCell ref="C2637:D2637"/>
    <mergeCell ref="J2637:L2637"/>
    <mergeCell ref="B2638:D2638"/>
    <mergeCell ref="G2638:H2638"/>
    <mergeCell ref="K2638:L2638"/>
    <mergeCell ref="B2633:D2633"/>
    <mergeCell ref="I2633:J2633"/>
    <mergeCell ref="K2633:L2633"/>
    <mergeCell ref="B2634:D2634"/>
    <mergeCell ref="I2634:J2634"/>
    <mergeCell ref="B2635:D2635"/>
    <mergeCell ref="E2635:H2635"/>
    <mergeCell ref="B2626:D2626"/>
    <mergeCell ref="F2627:F2628"/>
    <mergeCell ref="G2627:J2627"/>
    <mergeCell ref="G2628:J2628"/>
    <mergeCell ref="A2631:L2631"/>
    <mergeCell ref="C2632:D2632"/>
    <mergeCell ref="J2632:L2632"/>
    <mergeCell ref="A2623:L2623"/>
    <mergeCell ref="C2624:D2624"/>
    <mergeCell ref="J2624:L2624"/>
    <mergeCell ref="B2625:D2625"/>
    <mergeCell ref="G2625:H2625"/>
    <mergeCell ref="K2625:L2625"/>
    <mergeCell ref="B2616:D2616"/>
    <mergeCell ref="B2617:D2617"/>
    <mergeCell ref="B2618:D2618"/>
    <mergeCell ref="B2619:D2619"/>
    <mergeCell ref="F2619:F2620"/>
    <mergeCell ref="G2619:J2619"/>
    <mergeCell ref="G2620:J2620"/>
    <mergeCell ref="A2613:L2613"/>
    <mergeCell ref="C2614:D2614"/>
    <mergeCell ref="J2614:L2614"/>
    <mergeCell ref="B2615:D2615"/>
    <mergeCell ref="G2615:H2615"/>
    <mergeCell ref="K2615:L2615"/>
    <mergeCell ref="A2610:C2610"/>
    <mergeCell ref="D2610:L2610"/>
    <mergeCell ref="A2611:C2611"/>
    <mergeCell ref="D2611:L2611"/>
    <mergeCell ref="A2612:C2612"/>
    <mergeCell ref="D2612:L2612"/>
    <mergeCell ref="A2607:C2607"/>
    <mergeCell ref="D2607:L2607"/>
    <mergeCell ref="A2608:C2608"/>
    <mergeCell ref="D2608:L2608"/>
    <mergeCell ref="A2609:C2609"/>
    <mergeCell ref="D2609:L2609"/>
    <mergeCell ref="A2604:C2604"/>
    <mergeCell ref="D2604:L2604"/>
    <mergeCell ref="A2605:C2605"/>
    <mergeCell ref="D2605:L2605"/>
    <mergeCell ref="A2606:C2606"/>
    <mergeCell ref="D2606:L2606"/>
    <mergeCell ref="B2598:D2598"/>
    <mergeCell ref="F2599:F2600"/>
    <mergeCell ref="G2599:J2599"/>
    <mergeCell ref="G2600:J2600"/>
    <mergeCell ref="A2603:L2603"/>
    <mergeCell ref="B2592:D2592"/>
    <mergeCell ref="B2593:D2593"/>
    <mergeCell ref="B2595:D2595"/>
    <mergeCell ref="B2596:D2596"/>
    <mergeCell ref="B2597:D2597"/>
    <mergeCell ref="C2588:D2588"/>
    <mergeCell ref="J2588:L2588"/>
    <mergeCell ref="B2589:D2589"/>
    <mergeCell ref="K2589:L2589"/>
    <mergeCell ref="B2590:D2590"/>
    <mergeCell ref="B2591:D2591"/>
    <mergeCell ref="B2585:D2585"/>
    <mergeCell ref="G2585:H2585"/>
    <mergeCell ref="I2585:J2585"/>
    <mergeCell ref="B2586:D2586"/>
    <mergeCell ref="E2586:H2586"/>
    <mergeCell ref="A2587:L2587"/>
    <mergeCell ref="A2582:L2582"/>
    <mergeCell ref="C2583:D2583"/>
    <mergeCell ref="J2583:L2583"/>
    <mergeCell ref="B2584:D2584"/>
    <mergeCell ref="G2584:H2584"/>
    <mergeCell ref="I2584:J2584"/>
    <mergeCell ref="K2584:L2584"/>
    <mergeCell ref="B2579:D2579"/>
    <mergeCell ref="I2579:J2579"/>
    <mergeCell ref="K2579:L2579"/>
    <mergeCell ref="B2580:D2580"/>
    <mergeCell ref="I2580:J2580"/>
    <mergeCell ref="B2581:D2581"/>
    <mergeCell ref="E2581:H2581"/>
    <mergeCell ref="B2575:D2575"/>
    <mergeCell ref="I2575:J2575"/>
    <mergeCell ref="B2576:D2576"/>
    <mergeCell ref="E2576:H2576"/>
    <mergeCell ref="A2577:L2577"/>
    <mergeCell ref="C2578:D2578"/>
    <mergeCell ref="J2578:L2578"/>
    <mergeCell ref="A2571:C2571"/>
    <mergeCell ref="D2571:L2571"/>
    <mergeCell ref="A2572:L2572"/>
    <mergeCell ref="C2573:D2573"/>
    <mergeCell ref="J2573:L2573"/>
    <mergeCell ref="B2574:D2574"/>
    <mergeCell ref="I2574:J2574"/>
    <mergeCell ref="K2574:L2574"/>
    <mergeCell ref="A2568:C2568"/>
    <mergeCell ref="D2568:L2568"/>
    <mergeCell ref="A2569:C2569"/>
    <mergeCell ref="D2569:L2569"/>
    <mergeCell ref="A2570:C2570"/>
    <mergeCell ref="D2570:L2570"/>
    <mergeCell ref="A2565:C2565"/>
    <mergeCell ref="D2565:L2565"/>
    <mergeCell ref="A2566:C2566"/>
    <mergeCell ref="D2566:L2566"/>
    <mergeCell ref="A2567:C2567"/>
    <mergeCell ref="D2567:L2567"/>
    <mergeCell ref="A2562:L2562"/>
    <mergeCell ref="A2563:C2563"/>
    <mergeCell ref="D2563:L2563"/>
    <mergeCell ref="A2564:C2564"/>
    <mergeCell ref="D2564:L2564"/>
    <mergeCell ref="B2554:D2554"/>
    <mergeCell ref="B2555:D2555"/>
    <mergeCell ref="B2556:D2556"/>
    <mergeCell ref="B2557:D2557"/>
    <mergeCell ref="F2558:F2559"/>
    <mergeCell ref="G2558:J2558"/>
    <mergeCell ref="G2559:J2559"/>
    <mergeCell ref="B2549:D2549"/>
    <mergeCell ref="B2550:D2550"/>
    <mergeCell ref="B2551:D2551"/>
    <mergeCell ref="B2552:D2552"/>
    <mergeCell ref="C2547:D2547"/>
    <mergeCell ref="J2547:L2547"/>
    <mergeCell ref="B2548:D2548"/>
    <mergeCell ref="G2548:H2548"/>
    <mergeCell ref="K2548:L2548"/>
    <mergeCell ref="B2544:D2544"/>
    <mergeCell ref="I2544:J2544"/>
    <mergeCell ref="B2545:D2545"/>
    <mergeCell ref="E2545:H2545"/>
    <mergeCell ref="A2546:L2546"/>
    <mergeCell ref="B2540:D2540"/>
    <mergeCell ref="A2541:L2541"/>
    <mergeCell ref="C2542:D2542"/>
    <mergeCell ref="J2542:L2542"/>
    <mergeCell ref="B2543:D2543"/>
    <mergeCell ref="I2543:J2543"/>
    <mergeCell ref="K2543:L2543"/>
    <mergeCell ref="B2538:D2538"/>
    <mergeCell ref="G2538:H2538"/>
    <mergeCell ref="I2538:J2538"/>
    <mergeCell ref="K2538:L2538"/>
    <mergeCell ref="B2539:D2539"/>
    <mergeCell ref="I2539:J2539"/>
    <mergeCell ref="B2534:D2534"/>
    <mergeCell ref="I2534:J2534"/>
    <mergeCell ref="B2535:D2535"/>
    <mergeCell ref="E2535:H2535"/>
    <mergeCell ref="A2536:L2536"/>
    <mergeCell ref="C2537:D2537"/>
    <mergeCell ref="J2537:L2537"/>
    <mergeCell ref="A2531:L2531"/>
    <mergeCell ref="C2532:D2532"/>
    <mergeCell ref="J2532:L2532"/>
    <mergeCell ref="B2533:D2533"/>
    <mergeCell ref="I2533:J2533"/>
    <mergeCell ref="K2533:L2533"/>
    <mergeCell ref="B2523:D2523"/>
    <mergeCell ref="B2524:D2524"/>
    <mergeCell ref="B2525:D2525"/>
    <mergeCell ref="B2526:D2526"/>
    <mergeCell ref="F2527:F2528"/>
    <mergeCell ref="G2527:J2527"/>
    <mergeCell ref="G2528:J2528"/>
    <mergeCell ref="A2520:L2520"/>
    <mergeCell ref="C2521:D2521"/>
    <mergeCell ref="J2521:L2521"/>
    <mergeCell ref="B2522:D2522"/>
    <mergeCell ref="G2522:H2522"/>
    <mergeCell ref="K2522:L2522"/>
    <mergeCell ref="B2512:D2512"/>
    <mergeCell ref="B2513:D2513"/>
    <mergeCell ref="B2514:D2514"/>
    <mergeCell ref="B2515:D2515"/>
    <mergeCell ref="F2516:F2517"/>
    <mergeCell ref="G2516:J2516"/>
    <mergeCell ref="G2517:J2517"/>
    <mergeCell ref="A2508:C2508"/>
    <mergeCell ref="D2508:L2508"/>
    <mergeCell ref="A2509:L2509"/>
    <mergeCell ref="C2510:D2510"/>
    <mergeCell ref="J2510:L2510"/>
    <mergeCell ref="B2511:D2511"/>
    <mergeCell ref="G2511:H2511"/>
    <mergeCell ref="K2511:L2511"/>
    <mergeCell ref="A2505:C2505"/>
    <mergeCell ref="D2505:L2505"/>
    <mergeCell ref="A2506:C2506"/>
    <mergeCell ref="D2506:L2506"/>
    <mergeCell ref="A2507:C2507"/>
    <mergeCell ref="D2507:L2507"/>
    <mergeCell ref="A2502:C2502"/>
    <mergeCell ref="D2502:L2502"/>
    <mergeCell ref="A2503:C2503"/>
    <mergeCell ref="D2503:L2503"/>
    <mergeCell ref="A2504:C2504"/>
    <mergeCell ref="D2504:L2504"/>
    <mergeCell ref="B2497:D2497"/>
    <mergeCell ref="I2497:J2497"/>
    <mergeCell ref="A2499:L2499"/>
    <mergeCell ref="A2500:C2500"/>
    <mergeCell ref="D2500:L2500"/>
    <mergeCell ref="A2501:C2501"/>
    <mergeCell ref="D2501:L2501"/>
    <mergeCell ref="B2493:D2493"/>
    <mergeCell ref="I2493:J2493"/>
    <mergeCell ref="B2494:D2494"/>
    <mergeCell ref="F2495:F2496"/>
    <mergeCell ref="G2495:J2495"/>
    <mergeCell ref="G2496:J2496"/>
    <mergeCell ref="B2489:D2489"/>
    <mergeCell ref="G2489:H2489"/>
    <mergeCell ref="K2489:L2489"/>
    <mergeCell ref="B2490:D2490"/>
    <mergeCell ref="B2491:D2491"/>
    <mergeCell ref="B2492:D2492"/>
    <mergeCell ref="B2483:D2483"/>
    <mergeCell ref="I2483:J2483"/>
    <mergeCell ref="I2484:J2484"/>
    <mergeCell ref="B2486:D2486"/>
    <mergeCell ref="A2487:L2487"/>
    <mergeCell ref="C2488:D2488"/>
    <mergeCell ref="J2488:L2488"/>
    <mergeCell ref="A2480:L2480"/>
    <mergeCell ref="C2481:D2481"/>
    <mergeCell ref="J2481:L2481"/>
    <mergeCell ref="B2482:D2482"/>
    <mergeCell ref="G2482:H2482"/>
    <mergeCell ref="I2482:J2482"/>
    <mergeCell ref="K2482:L2482"/>
    <mergeCell ref="B2474:D2474"/>
    <mergeCell ref="G2474:H2474"/>
    <mergeCell ref="K2474:L2474"/>
    <mergeCell ref="B2475:D2475"/>
    <mergeCell ref="F2476:F2477"/>
    <mergeCell ref="G2476:J2476"/>
    <mergeCell ref="G2477:J2477"/>
    <mergeCell ref="B2470:D2470"/>
    <mergeCell ref="I2470:J2470"/>
    <mergeCell ref="B2471:D2471"/>
    <mergeCell ref="A2472:L2472"/>
    <mergeCell ref="C2473:D2473"/>
    <mergeCell ref="J2473:L2473"/>
    <mergeCell ref="C2468:D2468"/>
    <mergeCell ref="J2468:L2468"/>
    <mergeCell ref="B2469:D2469"/>
    <mergeCell ref="G2469:H2469"/>
    <mergeCell ref="I2469:J2469"/>
    <mergeCell ref="K2469:L2469"/>
    <mergeCell ref="B2465:D2465"/>
    <mergeCell ref="I2465:J2465"/>
    <mergeCell ref="B2466:D2466"/>
    <mergeCell ref="E2466:H2466"/>
    <mergeCell ref="A2467:L2467"/>
    <mergeCell ref="B2461:D2461"/>
    <mergeCell ref="A2462:L2462"/>
    <mergeCell ref="C2463:D2463"/>
    <mergeCell ref="J2463:L2463"/>
    <mergeCell ref="B2464:D2464"/>
    <mergeCell ref="G2464:H2464"/>
    <mergeCell ref="I2464:J2464"/>
    <mergeCell ref="K2464:L2464"/>
    <mergeCell ref="B2455:D2455"/>
    <mergeCell ref="B2456:D2456"/>
    <mergeCell ref="B2457:D2457"/>
    <mergeCell ref="F2458:F2459"/>
    <mergeCell ref="G2458:J2458"/>
    <mergeCell ref="G2459:J2459"/>
    <mergeCell ref="B2451:D2451"/>
    <mergeCell ref="G2451:H2451"/>
    <mergeCell ref="K2451:L2451"/>
    <mergeCell ref="B2452:D2452"/>
    <mergeCell ref="B2453:D2453"/>
    <mergeCell ref="B2454:D2454"/>
    <mergeCell ref="B2447:D2447"/>
    <mergeCell ref="I2447:J2447"/>
    <mergeCell ref="B2448:D2448"/>
    <mergeCell ref="E2448:H2448"/>
    <mergeCell ref="A2449:L2449"/>
    <mergeCell ref="C2450:D2450"/>
    <mergeCell ref="J2450:L2450"/>
    <mergeCell ref="B2443:D2443"/>
    <mergeCell ref="A2444:L2444"/>
    <mergeCell ref="C2445:D2445"/>
    <mergeCell ref="J2445:L2445"/>
    <mergeCell ref="B2446:D2446"/>
    <mergeCell ref="G2446:H2446"/>
    <mergeCell ref="I2446:J2446"/>
    <mergeCell ref="K2446:L2446"/>
    <mergeCell ref="B2441:D2441"/>
    <mergeCell ref="G2441:H2441"/>
    <mergeCell ref="I2441:J2441"/>
    <mergeCell ref="K2441:L2441"/>
    <mergeCell ref="B2442:D2442"/>
    <mergeCell ref="I2442:J2442"/>
    <mergeCell ref="B2434:E2434"/>
    <mergeCell ref="F2435:F2436"/>
    <mergeCell ref="G2435:J2435"/>
    <mergeCell ref="G2436:J2436"/>
    <mergeCell ref="A2439:L2439"/>
    <mergeCell ref="C2440:D2440"/>
    <mergeCell ref="J2440:L2440"/>
    <mergeCell ref="B2428:D2428"/>
    <mergeCell ref="B2429:D2429"/>
    <mergeCell ref="B2430:D2430"/>
    <mergeCell ref="B2431:D2431"/>
    <mergeCell ref="B2432:D2432"/>
    <mergeCell ref="B2433:D2433"/>
    <mergeCell ref="A2425:L2425"/>
    <mergeCell ref="C2426:D2426"/>
    <mergeCell ref="J2426:L2426"/>
    <mergeCell ref="B2427:D2427"/>
    <mergeCell ref="G2427:H2427"/>
    <mergeCell ref="K2427:L2427"/>
    <mergeCell ref="A2412:L2412"/>
    <mergeCell ref="B2421:D2421"/>
    <mergeCell ref="A2422:D2424"/>
    <mergeCell ref="B2402:D2402"/>
    <mergeCell ref="B2403:D2403"/>
    <mergeCell ref="B2404:D2404"/>
    <mergeCell ref="B2405:D2405"/>
    <mergeCell ref="A2406:D2411"/>
    <mergeCell ref="F2408:G2410"/>
    <mergeCell ref="I2409:J2409"/>
    <mergeCell ref="B2396:D2396"/>
    <mergeCell ref="B2397:D2397"/>
    <mergeCell ref="B2398:D2398"/>
    <mergeCell ref="B2399:D2399"/>
    <mergeCell ref="B2400:D2400"/>
    <mergeCell ref="B2401:D2401"/>
    <mergeCell ref="B2391:D2391"/>
    <mergeCell ref="A2392:D2393"/>
    <mergeCell ref="A2394:L2394"/>
    <mergeCell ref="C2395:D2395"/>
    <mergeCell ref="J2395:L2395"/>
    <mergeCell ref="B2386:D2386"/>
    <mergeCell ref="B2387:D2387"/>
    <mergeCell ref="B2388:D2388"/>
    <mergeCell ref="B2389:D2389"/>
    <mergeCell ref="B2390:D2390"/>
    <mergeCell ref="C2381:D2381"/>
    <mergeCell ref="J2381:L2381"/>
    <mergeCell ref="B2382:D2382"/>
    <mergeCell ref="B2383:D2383"/>
    <mergeCell ref="B2384:D2384"/>
    <mergeCell ref="B2385:D2385"/>
    <mergeCell ref="B2375:D2375"/>
    <mergeCell ref="B2376:D2376"/>
    <mergeCell ref="B2377:D2377"/>
    <mergeCell ref="A2378:D2379"/>
    <mergeCell ref="A2380:L2380"/>
    <mergeCell ref="B2368:D2368"/>
    <mergeCell ref="B2369:D2369"/>
    <mergeCell ref="B2370:D2370"/>
    <mergeCell ref="B2371:D2371"/>
    <mergeCell ref="B2372:D2372"/>
    <mergeCell ref="B2373:D2373"/>
    <mergeCell ref="B2374:D2374"/>
    <mergeCell ref="B2364:D2364"/>
    <mergeCell ref="G2364:I2364"/>
    <mergeCell ref="A2365:L2365"/>
    <mergeCell ref="A2366:L2366"/>
    <mergeCell ref="B2360:D2360"/>
    <mergeCell ref="G2360:H2360"/>
    <mergeCell ref="K2360:L2360"/>
    <mergeCell ref="B2361:D2361"/>
    <mergeCell ref="B2362:D2362"/>
    <mergeCell ref="B2355:D2355"/>
    <mergeCell ref="I2355:J2355"/>
    <mergeCell ref="B2356:D2356"/>
    <mergeCell ref="B2357:D2357"/>
    <mergeCell ref="A2358:L2358"/>
    <mergeCell ref="C2359:D2359"/>
    <mergeCell ref="J2359:L2359"/>
    <mergeCell ref="B2352:D2352"/>
    <mergeCell ref="I2352:J2352"/>
    <mergeCell ref="B2353:D2353"/>
    <mergeCell ref="I2353:J2353"/>
    <mergeCell ref="B2354:D2354"/>
    <mergeCell ref="I2354:J2354"/>
    <mergeCell ref="B2348:D2348"/>
    <mergeCell ref="A2349:L2349"/>
    <mergeCell ref="C2350:D2350"/>
    <mergeCell ref="J2350:L2350"/>
    <mergeCell ref="B2351:D2351"/>
    <mergeCell ref="G2351:H2351"/>
    <mergeCell ref="I2351:J2351"/>
    <mergeCell ref="K2351:L2351"/>
    <mergeCell ref="B2344:D2344"/>
    <mergeCell ref="I2344:J2344"/>
    <mergeCell ref="B2345:D2345"/>
    <mergeCell ref="I2345:J2345"/>
    <mergeCell ref="B2346:D2346"/>
    <mergeCell ref="I2346:J2346"/>
    <mergeCell ref="C2342:D2342"/>
    <mergeCell ref="J2342:L2342"/>
    <mergeCell ref="B2343:D2343"/>
    <mergeCell ref="G2343:H2343"/>
    <mergeCell ref="I2343:J2343"/>
    <mergeCell ref="K2343:L2343"/>
    <mergeCell ref="B2338:D2338"/>
    <mergeCell ref="I2338:J2338"/>
    <mergeCell ref="B2339:D2339"/>
    <mergeCell ref="I2339:J2339"/>
    <mergeCell ref="B2340:D2340"/>
    <mergeCell ref="A2341:L2341"/>
    <mergeCell ref="A2335:L2335"/>
    <mergeCell ref="C2336:D2336"/>
    <mergeCell ref="J2336:L2336"/>
    <mergeCell ref="B2337:D2337"/>
    <mergeCell ref="G2337:H2337"/>
    <mergeCell ref="I2337:J2337"/>
    <mergeCell ref="K2337:L2337"/>
    <mergeCell ref="A2332:C2332"/>
    <mergeCell ref="D2332:L2332"/>
    <mergeCell ref="A2333:C2333"/>
    <mergeCell ref="D2333:L2333"/>
    <mergeCell ref="A2334:C2334"/>
    <mergeCell ref="D2334:L2334"/>
    <mergeCell ref="A2329:C2329"/>
    <mergeCell ref="D2329:L2329"/>
    <mergeCell ref="A2330:C2330"/>
    <mergeCell ref="D2330:L2330"/>
    <mergeCell ref="A2331:C2331"/>
    <mergeCell ref="D2331:L2331"/>
    <mergeCell ref="A2325:L2325"/>
    <mergeCell ref="A2326:C2326"/>
    <mergeCell ref="D2326:L2326"/>
    <mergeCell ref="A2327:C2327"/>
    <mergeCell ref="D2327:L2327"/>
    <mergeCell ref="A2328:C2328"/>
    <mergeCell ref="D2328:L2328"/>
    <mergeCell ref="B2318:D2318"/>
    <mergeCell ref="B2319:D2319"/>
    <mergeCell ref="B2320:D2320"/>
    <mergeCell ref="F2321:F2322"/>
    <mergeCell ref="G2321:J2321"/>
    <mergeCell ref="G2322:J2322"/>
    <mergeCell ref="B2312:D2312"/>
    <mergeCell ref="B2313:D2313"/>
    <mergeCell ref="B2314:D2314"/>
    <mergeCell ref="B2315:D2315"/>
    <mergeCell ref="B2316:D2316"/>
    <mergeCell ref="B2317:D2317"/>
    <mergeCell ref="B2308:D2308"/>
    <mergeCell ref="G2308:H2308"/>
    <mergeCell ref="K2308:L2308"/>
    <mergeCell ref="B2309:D2309"/>
    <mergeCell ref="B2310:D2310"/>
    <mergeCell ref="B2311:D2311"/>
    <mergeCell ref="A2304:C2304"/>
    <mergeCell ref="D2304:L2304"/>
    <mergeCell ref="A2305:C2305"/>
    <mergeCell ref="D2305:L2305"/>
    <mergeCell ref="A2306:L2306"/>
    <mergeCell ref="C2307:D2307"/>
    <mergeCell ref="J2307:L2307"/>
    <mergeCell ref="A2301:C2301"/>
    <mergeCell ref="D2301:L2301"/>
    <mergeCell ref="A2302:C2302"/>
    <mergeCell ref="D2302:L2302"/>
    <mergeCell ref="A2303:C2303"/>
    <mergeCell ref="D2303:L2303"/>
    <mergeCell ref="A2298:C2298"/>
    <mergeCell ref="D2298:L2298"/>
    <mergeCell ref="A2299:C2299"/>
    <mergeCell ref="D2299:L2299"/>
    <mergeCell ref="A2300:C2300"/>
    <mergeCell ref="D2300:L2300"/>
    <mergeCell ref="F2292:F2293"/>
    <mergeCell ref="G2292:J2292"/>
    <mergeCell ref="G2293:J2293"/>
    <mergeCell ref="A2296:L2296"/>
    <mergeCell ref="A2297:C2297"/>
    <mergeCell ref="D2297:L2297"/>
    <mergeCell ref="B2286:D2286"/>
    <mergeCell ref="B2287:D2287"/>
    <mergeCell ref="B2288:D2288"/>
    <mergeCell ref="B2289:D2289"/>
    <mergeCell ref="B2290:D2290"/>
    <mergeCell ref="B2291:D2291"/>
    <mergeCell ref="B2280:D2280"/>
    <mergeCell ref="B2281:D2281"/>
    <mergeCell ref="B2282:D2282"/>
    <mergeCell ref="B2283:D2283"/>
    <mergeCell ref="B2284:D2284"/>
    <mergeCell ref="B2285:D2285"/>
    <mergeCell ref="A2277:L2277"/>
    <mergeCell ref="C2278:D2278"/>
    <mergeCell ref="J2278:L2278"/>
    <mergeCell ref="B2279:D2279"/>
    <mergeCell ref="G2279:H2279"/>
    <mergeCell ref="K2279:L2279"/>
    <mergeCell ref="A2274:C2274"/>
    <mergeCell ref="D2274:L2274"/>
    <mergeCell ref="A2275:C2275"/>
    <mergeCell ref="D2275:L2275"/>
    <mergeCell ref="A2276:C2276"/>
    <mergeCell ref="D2276:L2276"/>
    <mergeCell ref="A2271:C2271"/>
    <mergeCell ref="D2271:L2271"/>
    <mergeCell ref="A2272:C2272"/>
    <mergeCell ref="D2272:L2272"/>
    <mergeCell ref="A2273:C2273"/>
    <mergeCell ref="D2273:L2273"/>
    <mergeCell ref="A2268:C2268"/>
    <mergeCell ref="D2268:L2268"/>
    <mergeCell ref="A2269:C2269"/>
    <mergeCell ref="D2269:L2269"/>
    <mergeCell ref="A2270:C2270"/>
    <mergeCell ref="D2270:L2270"/>
    <mergeCell ref="B2261:D2261"/>
    <mergeCell ref="B2262:D2262"/>
    <mergeCell ref="F2263:F2264"/>
    <mergeCell ref="G2263:J2263"/>
    <mergeCell ref="G2264:J2264"/>
    <mergeCell ref="A2267:L2267"/>
    <mergeCell ref="B2255:D2255"/>
    <mergeCell ref="B2256:D2256"/>
    <mergeCell ref="B2257:D2257"/>
    <mergeCell ref="B2258:D2258"/>
    <mergeCell ref="B2259:D2259"/>
    <mergeCell ref="B2260:D2260"/>
    <mergeCell ref="B2249:D2249"/>
    <mergeCell ref="B2250:D2250"/>
    <mergeCell ref="B2251:D2251"/>
    <mergeCell ref="B2252:D2252"/>
    <mergeCell ref="B2253:D2253"/>
    <mergeCell ref="B2254:D2254"/>
    <mergeCell ref="A2245:C2245"/>
    <mergeCell ref="D2245:L2245"/>
    <mergeCell ref="A2246:L2246"/>
    <mergeCell ref="C2247:D2247"/>
    <mergeCell ref="J2247:L2247"/>
    <mergeCell ref="B2248:D2248"/>
    <mergeCell ref="G2248:H2248"/>
    <mergeCell ref="K2248:L2248"/>
    <mergeCell ref="A2242:C2242"/>
    <mergeCell ref="D2242:L2242"/>
    <mergeCell ref="A2243:C2243"/>
    <mergeCell ref="D2243:L2243"/>
    <mergeCell ref="A2244:C2244"/>
    <mergeCell ref="D2244:L2244"/>
    <mergeCell ref="A2239:C2239"/>
    <mergeCell ref="D2239:L2239"/>
    <mergeCell ref="A2240:C2240"/>
    <mergeCell ref="D2240:L2240"/>
    <mergeCell ref="A2241:C2241"/>
    <mergeCell ref="D2241:L2241"/>
    <mergeCell ref="B2234:F2234"/>
    <mergeCell ref="A2236:L2236"/>
    <mergeCell ref="A2237:C2237"/>
    <mergeCell ref="D2237:L2237"/>
    <mergeCell ref="A2238:C2238"/>
    <mergeCell ref="D2238:L2238"/>
    <mergeCell ref="B2229:D2229"/>
    <mergeCell ref="B2230:D2230"/>
    <mergeCell ref="B2231:D2231"/>
    <mergeCell ref="F2232:F2233"/>
    <mergeCell ref="G2232:J2232"/>
    <mergeCell ref="G2233:J2233"/>
    <mergeCell ref="B2223:D2223"/>
    <mergeCell ref="B2224:D2224"/>
    <mergeCell ref="B2225:D2225"/>
    <mergeCell ref="B2226:D2226"/>
    <mergeCell ref="B2227:D2227"/>
    <mergeCell ref="B2228:D2228"/>
    <mergeCell ref="A2219:C2219"/>
    <mergeCell ref="D2219:L2219"/>
    <mergeCell ref="A2220:L2220"/>
    <mergeCell ref="C2221:D2221"/>
    <mergeCell ref="J2221:L2221"/>
    <mergeCell ref="B2222:D2222"/>
    <mergeCell ref="G2222:H2222"/>
    <mergeCell ref="K2222:L2222"/>
    <mergeCell ref="A2216:C2216"/>
    <mergeCell ref="D2216:L2216"/>
    <mergeCell ref="A2217:C2217"/>
    <mergeCell ref="D2217:L2217"/>
    <mergeCell ref="A2218:C2218"/>
    <mergeCell ref="D2218:L2218"/>
    <mergeCell ref="A2213:C2213"/>
    <mergeCell ref="D2213:L2213"/>
    <mergeCell ref="A2214:C2214"/>
    <mergeCell ref="D2214:L2214"/>
    <mergeCell ref="A2215:C2215"/>
    <mergeCell ref="D2215:L2215"/>
    <mergeCell ref="G2206:J2206"/>
    <mergeCell ref="G2207:J2207"/>
    <mergeCell ref="A2210:L2210"/>
    <mergeCell ref="A2211:C2211"/>
    <mergeCell ref="D2211:L2211"/>
    <mergeCell ref="A2212:C2212"/>
    <mergeCell ref="D2212:L2212"/>
    <mergeCell ref="B2201:D2201"/>
    <mergeCell ref="B2202:D2202"/>
    <mergeCell ref="B2203:D2203"/>
    <mergeCell ref="B2204:D2204"/>
    <mergeCell ref="B2205:D2205"/>
    <mergeCell ref="F2206:F2207"/>
    <mergeCell ref="B2197:D2197"/>
    <mergeCell ref="G2197:H2197"/>
    <mergeCell ref="K2197:L2197"/>
    <mergeCell ref="B2198:D2198"/>
    <mergeCell ref="B2199:D2199"/>
    <mergeCell ref="B2200:D2200"/>
    <mergeCell ref="A2193:C2193"/>
    <mergeCell ref="D2193:L2193"/>
    <mergeCell ref="A2194:C2194"/>
    <mergeCell ref="D2194:L2194"/>
    <mergeCell ref="A2195:L2195"/>
    <mergeCell ref="C2196:D2196"/>
    <mergeCell ref="J2196:L2196"/>
    <mergeCell ref="A2190:C2190"/>
    <mergeCell ref="D2190:L2190"/>
    <mergeCell ref="A2191:C2191"/>
    <mergeCell ref="D2191:L2191"/>
    <mergeCell ref="A2192:C2192"/>
    <mergeCell ref="D2192:L2192"/>
    <mergeCell ref="A2187:C2187"/>
    <mergeCell ref="D2187:L2187"/>
    <mergeCell ref="A2188:C2188"/>
    <mergeCell ref="D2188:L2188"/>
    <mergeCell ref="A2189:C2189"/>
    <mergeCell ref="D2189:L2189"/>
    <mergeCell ref="B2180:D2180"/>
    <mergeCell ref="F2181:F2182"/>
    <mergeCell ref="G2181:J2181"/>
    <mergeCell ref="G2182:J2182"/>
    <mergeCell ref="A2185:L2185"/>
    <mergeCell ref="A2186:C2186"/>
    <mergeCell ref="D2186:L2186"/>
    <mergeCell ref="B2174:D2174"/>
    <mergeCell ref="B2175:D2175"/>
    <mergeCell ref="B2176:D2176"/>
    <mergeCell ref="B2177:D2177"/>
    <mergeCell ref="B2178:D2178"/>
    <mergeCell ref="B2179:D2179"/>
    <mergeCell ref="B2168:D2168"/>
    <mergeCell ref="B2169:D2169"/>
    <mergeCell ref="B2170:D2170"/>
    <mergeCell ref="B2171:D2171"/>
    <mergeCell ref="B2172:D2172"/>
    <mergeCell ref="B2173:D2173"/>
    <mergeCell ref="C2165:D2165"/>
    <mergeCell ref="J2165:L2165"/>
    <mergeCell ref="B2166:D2166"/>
    <mergeCell ref="G2166:H2166"/>
    <mergeCell ref="K2166:L2166"/>
    <mergeCell ref="B2167:D2167"/>
    <mergeCell ref="B2160:D2160"/>
    <mergeCell ref="F2160:F2161"/>
    <mergeCell ref="G2160:J2160"/>
    <mergeCell ref="G2161:J2161"/>
    <mergeCell ref="B2162:H2162"/>
    <mergeCell ref="A2164:L2164"/>
    <mergeCell ref="B2154:D2154"/>
    <mergeCell ref="B2155:D2155"/>
    <mergeCell ref="B2156:D2156"/>
    <mergeCell ref="B2157:D2157"/>
    <mergeCell ref="B2158:D2158"/>
    <mergeCell ref="B2159:D2159"/>
    <mergeCell ref="B2148:D2148"/>
    <mergeCell ref="B2149:D2149"/>
    <mergeCell ref="B2150:D2150"/>
    <mergeCell ref="B2151:D2151"/>
    <mergeCell ref="B2152:D2152"/>
    <mergeCell ref="B2153:D2153"/>
    <mergeCell ref="A2144:C2144"/>
    <mergeCell ref="D2144:L2144"/>
    <mergeCell ref="A2145:L2145"/>
    <mergeCell ref="C2146:D2146"/>
    <mergeCell ref="J2146:L2146"/>
    <mergeCell ref="B2147:D2147"/>
    <mergeCell ref="G2147:H2147"/>
    <mergeCell ref="K2147:L2147"/>
    <mergeCell ref="A2141:C2141"/>
    <mergeCell ref="D2141:L2141"/>
    <mergeCell ref="A2142:C2142"/>
    <mergeCell ref="D2142:L2142"/>
    <mergeCell ref="A2143:C2143"/>
    <mergeCell ref="D2143:L2143"/>
    <mergeCell ref="A2138:C2138"/>
    <mergeCell ref="D2138:L2138"/>
    <mergeCell ref="A2139:C2139"/>
    <mergeCell ref="D2139:L2139"/>
    <mergeCell ref="A2140:C2140"/>
    <mergeCell ref="D2140:L2140"/>
    <mergeCell ref="B2133:H2133"/>
    <mergeCell ref="A2135:L2135"/>
    <mergeCell ref="A2136:C2136"/>
    <mergeCell ref="D2136:L2136"/>
    <mergeCell ref="A2137:C2137"/>
    <mergeCell ref="D2137:L2137"/>
    <mergeCell ref="B2127:D2127"/>
    <mergeCell ref="B2128:D2128"/>
    <mergeCell ref="B2129:D2129"/>
    <mergeCell ref="B2130:D2130"/>
    <mergeCell ref="F2131:F2132"/>
    <mergeCell ref="G2131:J2131"/>
    <mergeCell ref="G2132:J2132"/>
    <mergeCell ref="B2122:D2122"/>
    <mergeCell ref="B2123:D2123"/>
    <mergeCell ref="B2124:D2124"/>
    <mergeCell ref="B2125:D2125"/>
    <mergeCell ref="B2126:D2126"/>
    <mergeCell ref="B2118:D2118"/>
    <mergeCell ref="G2118:H2118"/>
    <mergeCell ref="K2118:L2118"/>
    <mergeCell ref="B2119:D2119"/>
    <mergeCell ref="B2120:D2120"/>
    <mergeCell ref="B2121:D2121"/>
    <mergeCell ref="B2113:D2113"/>
    <mergeCell ref="I2113:J2113"/>
    <mergeCell ref="B2115:D2115"/>
    <mergeCell ref="A2116:L2116"/>
    <mergeCell ref="C2117:D2117"/>
    <mergeCell ref="J2117:L2117"/>
    <mergeCell ref="B2110:D2110"/>
    <mergeCell ref="I2110:J2110"/>
    <mergeCell ref="B2111:D2111"/>
    <mergeCell ref="I2111:J2111"/>
    <mergeCell ref="B2112:D2112"/>
    <mergeCell ref="I2112:J2112"/>
    <mergeCell ref="B2106:D2106"/>
    <mergeCell ref="A2107:L2107"/>
    <mergeCell ref="C2108:D2108"/>
    <mergeCell ref="J2108:L2108"/>
    <mergeCell ref="B2109:D2109"/>
    <mergeCell ref="G2109:H2109"/>
    <mergeCell ref="I2109:J2109"/>
    <mergeCell ref="K2109:L2109"/>
    <mergeCell ref="B2102:D2102"/>
    <mergeCell ref="I2102:J2102"/>
    <mergeCell ref="B2103:D2103"/>
    <mergeCell ref="I2103:J2103"/>
    <mergeCell ref="B2104:D2104"/>
    <mergeCell ref="I2104:J2104"/>
    <mergeCell ref="B2100:D2100"/>
    <mergeCell ref="G2100:H2100"/>
    <mergeCell ref="I2100:J2100"/>
    <mergeCell ref="K2100:L2100"/>
    <mergeCell ref="B2101:D2101"/>
    <mergeCell ref="I2101:J2101"/>
    <mergeCell ref="G2094:J2094"/>
    <mergeCell ref="G2095:J2095"/>
    <mergeCell ref="B2096:D2096"/>
    <mergeCell ref="A2098:L2098"/>
    <mergeCell ref="C2099:D2099"/>
    <mergeCell ref="J2099:L2099"/>
    <mergeCell ref="B2089:D2089"/>
    <mergeCell ref="B2090:D2090"/>
    <mergeCell ref="B2091:D2091"/>
    <mergeCell ref="B2092:D2092"/>
    <mergeCell ref="B2093:D2093"/>
    <mergeCell ref="F2094:F2095"/>
    <mergeCell ref="G2082:J2082"/>
    <mergeCell ref="G2083:J2083"/>
    <mergeCell ref="A2086:L2086"/>
    <mergeCell ref="C2087:D2087"/>
    <mergeCell ref="J2087:L2087"/>
    <mergeCell ref="B2088:D2088"/>
    <mergeCell ref="G2088:H2088"/>
    <mergeCell ref="K2088:L2088"/>
    <mergeCell ref="B2077:D2077"/>
    <mergeCell ref="B2078:D2078"/>
    <mergeCell ref="B2079:D2079"/>
    <mergeCell ref="B2080:D2080"/>
    <mergeCell ref="B2081:D2081"/>
    <mergeCell ref="F2082:F2083"/>
    <mergeCell ref="A2074:L2074"/>
    <mergeCell ref="C2075:D2075"/>
    <mergeCell ref="J2075:L2075"/>
    <mergeCell ref="B2076:D2076"/>
    <mergeCell ref="G2076:H2076"/>
    <mergeCell ref="K2076:L2076"/>
    <mergeCell ref="A2071:C2071"/>
    <mergeCell ref="D2071:L2071"/>
    <mergeCell ref="A2072:C2072"/>
    <mergeCell ref="D2072:L2072"/>
    <mergeCell ref="A2073:C2073"/>
    <mergeCell ref="D2073:L2073"/>
    <mergeCell ref="A2068:C2068"/>
    <mergeCell ref="D2068:L2068"/>
    <mergeCell ref="A2069:C2069"/>
    <mergeCell ref="D2069:L2069"/>
    <mergeCell ref="A2070:C2070"/>
    <mergeCell ref="D2070:L2070"/>
    <mergeCell ref="A2064:L2064"/>
    <mergeCell ref="A2065:C2065"/>
    <mergeCell ref="D2065:L2065"/>
    <mergeCell ref="A2066:C2066"/>
    <mergeCell ref="D2066:L2066"/>
    <mergeCell ref="A2067:C2067"/>
    <mergeCell ref="D2067:L2067"/>
    <mergeCell ref="B2055:D2055"/>
    <mergeCell ref="B2056:D2056"/>
    <mergeCell ref="B2058:D2058"/>
    <mergeCell ref="B2059:D2059"/>
    <mergeCell ref="F2060:F2061"/>
    <mergeCell ref="G2060:J2060"/>
    <mergeCell ref="G2061:J2061"/>
    <mergeCell ref="A2052:L2052"/>
    <mergeCell ref="C2053:D2053"/>
    <mergeCell ref="J2053:L2053"/>
    <mergeCell ref="B2054:D2054"/>
    <mergeCell ref="G2054:H2054"/>
    <mergeCell ref="K2054:L2054"/>
    <mergeCell ref="A2049:C2049"/>
    <mergeCell ref="D2049:L2049"/>
    <mergeCell ref="A2050:C2050"/>
    <mergeCell ref="D2050:L2050"/>
    <mergeCell ref="A2051:C2051"/>
    <mergeCell ref="D2051:L2051"/>
    <mergeCell ref="A2046:C2046"/>
    <mergeCell ref="D2046:L2046"/>
    <mergeCell ref="A2047:C2047"/>
    <mergeCell ref="D2047:L2047"/>
    <mergeCell ref="A2048:C2048"/>
    <mergeCell ref="D2048:L2048"/>
    <mergeCell ref="A2043:C2043"/>
    <mergeCell ref="D2043:L2043"/>
    <mergeCell ref="A2044:C2044"/>
    <mergeCell ref="D2044:L2044"/>
    <mergeCell ref="A2045:C2045"/>
    <mergeCell ref="D2045:L2045"/>
    <mergeCell ref="B2036:D2036"/>
    <mergeCell ref="C2037:E2037"/>
    <mergeCell ref="F2038:F2039"/>
    <mergeCell ref="G2038:J2038"/>
    <mergeCell ref="G2039:J2039"/>
    <mergeCell ref="A2042:L2042"/>
    <mergeCell ref="C2033:D2033"/>
    <mergeCell ref="J2033:L2033"/>
    <mergeCell ref="B2034:D2034"/>
    <mergeCell ref="G2034:H2034"/>
    <mergeCell ref="K2034:L2034"/>
    <mergeCell ref="B2035:D2035"/>
    <mergeCell ref="B2026:D2026"/>
    <mergeCell ref="B2027:D2027"/>
    <mergeCell ref="F2028:F2029"/>
    <mergeCell ref="G2028:J2028"/>
    <mergeCell ref="G2029:J2029"/>
    <mergeCell ref="A2032:L2032"/>
    <mergeCell ref="A2023:L2023"/>
    <mergeCell ref="C2024:D2024"/>
    <mergeCell ref="J2024:L2024"/>
    <mergeCell ref="B2025:D2025"/>
    <mergeCell ref="G2025:H2025"/>
    <mergeCell ref="K2025:L2025"/>
    <mergeCell ref="B2016:D2016"/>
    <mergeCell ref="B2017:D2017"/>
    <mergeCell ref="B2018:D2018"/>
    <mergeCell ref="F2019:F2020"/>
    <mergeCell ref="G2019:J2019"/>
    <mergeCell ref="G2020:J2020"/>
    <mergeCell ref="B2012:D2012"/>
    <mergeCell ref="G2012:H2012"/>
    <mergeCell ref="K2012:L2012"/>
    <mergeCell ref="B2013:D2013"/>
    <mergeCell ref="B2014:D2014"/>
    <mergeCell ref="B2015:D2015"/>
    <mergeCell ref="F2006:F2007"/>
    <mergeCell ref="G2006:J2006"/>
    <mergeCell ref="G2007:J2007"/>
    <mergeCell ref="A2010:L2010"/>
    <mergeCell ref="C2011:D2011"/>
    <mergeCell ref="J2011:L2011"/>
    <mergeCell ref="B2002:D2002"/>
    <mergeCell ref="G2002:H2002"/>
    <mergeCell ref="K2002:L2002"/>
    <mergeCell ref="B2003:D2003"/>
    <mergeCell ref="B2004:D2004"/>
    <mergeCell ref="B2005:D2005"/>
    <mergeCell ref="B1998:D1998"/>
    <mergeCell ref="B1999:D1999"/>
    <mergeCell ref="A2000:L2000"/>
    <mergeCell ref="C2001:D2001"/>
    <mergeCell ref="J2001:L2001"/>
    <mergeCell ref="B1995:D1995"/>
    <mergeCell ref="I1995:J1995"/>
    <mergeCell ref="B1996:D1996"/>
    <mergeCell ref="I1996:J1996"/>
    <mergeCell ref="B1997:D1997"/>
    <mergeCell ref="I1997:J1997"/>
    <mergeCell ref="B1993:D1993"/>
    <mergeCell ref="G1993:H1993"/>
    <mergeCell ref="I1993:J1993"/>
    <mergeCell ref="K1993:L1993"/>
    <mergeCell ref="B1994:D1994"/>
    <mergeCell ref="I1994:J1994"/>
    <mergeCell ref="B1989:D1989"/>
    <mergeCell ref="I1989:J1989"/>
    <mergeCell ref="B1990:D1990"/>
    <mergeCell ref="A1991:L1991"/>
    <mergeCell ref="C1992:D1992"/>
    <mergeCell ref="J1992:L1992"/>
    <mergeCell ref="G1982:J1982"/>
    <mergeCell ref="G1983:J1983"/>
    <mergeCell ref="A1986:L1986"/>
    <mergeCell ref="C1987:D1987"/>
    <mergeCell ref="J1987:L1987"/>
    <mergeCell ref="B1988:D1988"/>
    <mergeCell ref="G1988:H1988"/>
    <mergeCell ref="I1988:J1988"/>
    <mergeCell ref="K1988:L1988"/>
    <mergeCell ref="B1977:D1977"/>
    <mergeCell ref="B1978:D1978"/>
    <mergeCell ref="B1979:D1979"/>
    <mergeCell ref="B1980:D1980"/>
    <mergeCell ref="B1981:D1981"/>
    <mergeCell ref="F1982:F1983"/>
    <mergeCell ref="B1972:D1972"/>
    <mergeCell ref="B1973:D1973"/>
    <mergeCell ref="A1974:L1974"/>
    <mergeCell ref="C1975:D1975"/>
    <mergeCell ref="J1975:L1975"/>
    <mergeCell ref="B1976:D1976"/>
    <mergeCell ref="G1976:H1976"/>
    <mergeCell ref="K1976:L1976"/>
    <mergeCell ref="B1966:D1966"/>
    <mergeCell ref="B1967:D1967"/>
    <mergeCell ref="B1968:D1968"/>
    <mergeCell ref="B1969:D1969"/>
    <mergeCell ref="F1970:F1971"/>
    <mergeCell ref="G1970:J1970"/>
    <mergeCell ref="G1971:J1971"/>
    <mergeCell ref="B1962:D1962"/>
    <mergeCell ref="G1962:H1962"/>
    <mergeCell ref="K1962:L1962"/>
    <mergeCell ref="B1963:D1963"/>
    <mergeCell ref="B1964:D1964"/>
    <mergeCell ref="B1965:D1965"/>
    <mergeCell ref="F1956:F1957"/>
    <mergeCell ref="G1956:J1956"/>
    <mergeCell ref="G1957:J1957"/>
    <mergeCell ref="A1960:L1960"/>
    <mergeCell ref="C1961:D1961"/>
    <mergeCell ref="J1961:L1961"/>
    <mergeCell ref="B1951:D1951"/>
    <mergeCell ref="B1952:D1952"/>
    <mergeCell ref="B1953:D1953"/>
    <mergeCell ref="B1954:D1954"/>
    <mergeCell ref="B1955:D1955"/>
    <mergeCell ref="A1948:L1948"/>
    <mergeCell ref="C1949:D1949"/>
    <mergeCell ref="J1949:L1949"/>
    <mergeCell ref="B1950:D1950"/>
    <mergeCell ref="G1950:H1950"/>
    <mergeCell ref="K1950:L1950"/>
    <mergeCell ref="B1943:D1943"/>
    <mergeCell ref="F1944:F1945"/>
    <mergeCell ref="G1944:J1944"/>
    <mergeCell ref="G1945:J1945"/>
    <mergeCell ref="B1946:E1946"/>
    <mergeCell ref="B1937:D1937"/>
    <mergeCell ref="B1938:D1938"/>
    <mergeCell ref="B1939:D1939"/>
    <mergeCell ref="B1940:D1940"/>
    <mergeCell ref="B1941:D1941"/>
    <mergeCell ref="B1942:D1942"/>
    <mergeCell ref="B1933:D1933"/>
    <mergeCell ref="A1934:L1934"/>
    <mergeCell ref="C1935:D1935"/>
    <mergeCell ref="J1935:L1935"/>
    <mergeCell ref="B1936:D1936"/>
    <mergeCell ref="G1936:H1936"/>
    <mergeCell ref="K1936:L1936"/>
    <mergeCell ref="B1927:D1927"/>
    <mergeCell ref="B1928:D1928"/>
    <mergeCell ref="B1929:D1929"/>
    <mergeCell ref="F1930:F1931"/>
    <mergeCell ref="G1930:J1930"/>
    <mergeCell ref="G1931:J1931"/>
    <mergeCell ref="B1922:E1922"/>
    <mergeCell ref="A1924:L1924"/>
    <mergeCell ref="C1925:D1925"/>
    <mergeCell ref="J1925:L1925"/>
    <mergeCell ref="B1926:D1926"/>
    <mergeCell ref="G1926:H1926"/>
    <mergeCell ref="K1926:L1926"/>
    <mergeCell ref="B1916:D1916"/>
    <mergeCell ref="B1917:D1917"/>
    <mergeCell ref="B1918:D1918"/>
    <mergeCell ref="B1919:D1919"/>
    <mergeCell ref="F1920:F1921"/>
    <mergeCell ref="G1920:J1920"/>
    <mergeCell ref="G1921:J1921"/>
    <mergeCell ref="B1911:D1911"/>
    <mergeCell ref="A1913:L1913"/>
    <mergeCell ref="C1914:D1914"/>
    <mergeCell ref="J1914:L1914"/>
    <mergeCell ref="B1915:D1915"/>
    <mergeCell ref="G1915:H1915"/>
    <mergeCell ref="K1915:L1915"/>
    <mergeCell ref="B1905:D1905"/>
    <mergeCell ref="B1906:D1906"/>
    <mergeCell ref="B1907:D1907"/>
    <mergeCell ref="B1908:D1908"/>
    <mergeCell ref="F1909:F1910"/>
    <mergeCell ref="G1909:J1909"/>
    <mergeCell ref="G1910:J1910"/>
    <mergeCell ref="A1902:L1902"/>
    <mergeCell ref="C1903:D1903"/>
    <mergeCell ref="J1903:L1903"/>
    <mergeCell ref="B1904:D1904"/>
    <mergeCell ref="G1904:H1904"/>
    <mergeCell ref="K1904:L1904"/>
    <mergeCell ref="B1894:D1894"/>
    <mergeCell ref="B1895:D1895"/>
    <mergeCell ref="B1896:D1896"/>
    <mergeCell ref="B1897:D1897"/>
    <mergeCell ref="F1898:F1899"/>
    <mergeCell ref="G1898:J1898"/>
    <mergeCell ref="G1899:J1899"/>
    <mergeCell ref="A1890:C1890"/>
    <mergeCell ref="D1890:L1890"/>
    <mergeCell ref="A1891:L1891"/>
    <mergeCell ref="C1892:D1892"/>
    <mergeCell ref="J1892:L1892"/>
    <mergeCell ref="B1893:D1893"/>
    <mergeCell ref="G1893:H1893"/>
    <mergeCell ref="K1893:L1893"/>
    <mergeCell ref="A1887:C1887"/>
    <mergeCell ref="D1887:L1887"/>
    <mergeCell ref="A1888:C1888"/>
    <mergeCell ref="D1888:L1888"/>
    <mergeCell ref="A1889:C1889"/>
    <mergeCell ref="D1889:L1889"/>
    <mergeCell ref="A1884:C1884"/>
    <mergeCell ref="D1884:L1884"/>
    <mergeCell ref="A1885:C1885"/>
    <mergeCell ref="D1885:L1885"/>
    <mergeCell ref="A1886:C1886"/>
    <mergeCell ref="D1886:L1886"/>
    <mergeCell ref="G1880:I1880"/>
    <mergeCell ref="A1881:L1881"/>
    <mergeCell ref="A1882:C1882"/>
    <mergeCell ref="D1882:L1882"/>
    <mergeCell ref="A1883:C1883"/>
    <mergeCell ref="D1883:L1883"/>
    <mergeCell ref="B1873:D1873"/>
    <mergeCell ref="B1874:D1874"/>
    <mergeCell ref="B1875:D1875"/>
    <mergeCell ref="B1876:D1876"/>
    <mergeCell ref="F1877:F1878"/>
    <mergeCell ref="G1877:J1877"/>
    <mergeCell ref="G1878:J1878"/>
    <mergeCell ref="B1867:D1867"/>
    <mergeCell ref="B1868:D1868"/>
    <mergeCell ref="B1869:D1869"/>
    <mergeCell ref="B1870:D1870"/>
    <mergeCell ref="B1871:D1871"/>
    <mergeCell ref="B1872:D1872"/>
    <mergeCell ref="A1864:L1864"/>
    <mergeCell ref="C1865:D1865"/>
    <mergeCell ref="J1865:L1865"/>
    <mergeCell ref="B1866:D1866"/>
    <mergeCell ref="G1866:H1866"/>
    <mergeCell ref="K1866:L1866"/>
    <mergeCell ref="B1857:D1857"/>
    <mergeCell ref="B1858:D1858"/>
    <mergeCell ref="B1859:D1859"/>
    <mergeCell ref="F1860:F1861"/>
    <mergeCell ref="G1860:J1860"/>
    <mergeCell ref="G1861:J1861"/>
    <mergeCell ref="A1854:L1854"/>
    <mergeCell ref="C1855:D1855"/>
    <mergeCell ref="J1855:L1855"/>
    <mergeCell ref="B1856:D1856"/>
    <mergeCell ref="G1856:H1856"/>
    <mergeCell ref="K1856:L1856"/>
    <mergeCell ref="A1851:C1851"/>
    <mergeCell ref="D1851:L1851"/>
    <mergeCell ref="A1852:C1852"/>
    <mergeCell ref="D1852:L1852"/>
    <mergeCell ref="A1853:C1853"/>
    <mergeCell ref="D1853:L1853"/>
    <mergeCell ref="A1848:C1848"/>
    <mergeCell ref="D1848:L1848"/>
    <mergeCell ref="A1849:C1849"/>
    <mergeCell ref="D1849:L1849"/>
    <mergeCell ref="A1850:C1850"/>
    <mergeCell ref="D1850:L1850"/>
    <mergeCell ref="A1844:L1844"/>
    <mergeCell ref="A1845:C1845"/>
    <mergeCell ref="D1845:L1845"/>
    <mergeCell ref="A1846:C1846"/>
    <mergeCell ref="D1846:L1846"/>
    <mergeCell ref="A1847:C1847"/>
    <mergeCell ref="D1847:L1847"/>
    <mergeCell ref="B1835:D1835"/>
    <mergeCell ref="B1836:D1836"/>
    <mergeCell ref="B1837:D1837"/>
    <mergeCell ref="B1838:D1838"/>
    <mergeCell ref="F1840:F1841"/>
    <mergeCell ref="G1840:J1840"/>
    <mergeCell ref="G1841:J1841"/>
    <mergeCell ref="B1831:D1831"/>
    <mergeCell ref="A1832:L1832"/>
    <mergeCell ref="C1833:D1833"/>
    <mergeCell ref="J1833:L1833"/>
    <mergeCell ref="K1834:L1834"/>
    <mergeCell ref="B1829:D1829"/>
    <mergeCell ref="G1829:H1829"/>
    <mergeCell ref="I1829:J1829"/>
    <mergeCell ref="K1829:L1829"/>
    <mergeCell ref="B1830:D1830"/>
    <mergeCell ref="I1830:J1830"/>
    <mergeCell ref="B1826:D1826"/>
    <mergeCell ref="E1826:H1826"/>
    <mergeCell ref="A1827:L1827"/>
    <mergeCell ref="C1828:D1828"/>
    <mergeCell ref="J1828:L1828"/>
    <mergeCell ref="B1824:D1824"/>
    <mergeCell ref="G1824:H1824"/>
    <mergeCell ref="I1824:J1824"/>
    <mergeCell ref="K1824:L1824"/>
    <mergeCell ref="B1825:D1825"/>
    <mergeCell ref="G1825:H1825"/>
    <mergeCell ref="I1825:J1825"/>
    <mergeCell ref="B1820:D1820"/>
    <mergeCell ref="I1820:J1820"/>
    <mergeCell ref="B1821:D1821"/>
    <mergeCell ref="E1821:H1821"/>
    <mergeCell ref="A1822:L1822"/>
    <mergeCell ref="C1823:D1823"/>
    <mergeCell ref="J1823:L1823"/>
    <mergeCell ref="A1817:L1817"/>
    <mergeCell ref="C1818:D1818"/>
    <mergeCell ref="J1818:L1818"/>
    <mergeCell ref="B1819:D1819"/>
    <mergeCell ref="I1819:J1819"/>
    <mergeCell ref="K1819:L1819"/>
    <mergeCell ref="B1814:D1814"/>
    <mergeCell ref="I1814:J1814"/>
    <mergeCell ref="K1814:L1814"/>
    <mergeCell ref="B1815:D1815"/>
    <mergeCell ref="I1815:J1815"/>
    <mergeCell ref="B1816:D1816"/>
    <mergeCell ref="E1816:H1816"/>
    <mergeCell ref="B1810:D1810"/>
    <mergeCell ref="I1810:J1810"/>
    <mergeCell ref="B1811:D1811"/>
    <mergeCell ref="E1811:H1811"/>
    <mergeCell ref="A1812:L1812"/>
    <mergeCell ref="C1813:D1813"/>
    <mergeCell ref="J1813:L1813"/>
    <mergeCell ref="A1807:L1807"/>
    <mergeCell ref="C1808:D1808"/>
    <mergeCell ref="J1808:L1808"/>
    <mergeCell ref="B1809:D1809"/>
    <mergeCell ref="I1809:J1809"/>
    <mergeCell ref="K1809:L1809"/>
    <mergeCell ref="B1801:D1801"/>
    <mergeCell ref="G1801:H1801"/>
    <mergeCell ref="K1801:L1801"/>
    <mergeCell ref="B1802:D1802"/>
    <mergeCell ref="B1803:D1803"/>
    <mergeCell ref="F1803:F1804"/>
    <mergeCell ref="G1803:J1803"/>
    <mergeCell ref="G1804:J1804"/>
    <mergeCell ref="B1797:D1797"/>
    <mergeCell ref="I1797:J1797"/>
    <mergeCell ref="B1798:D1798"/>
    <mergeCell ref="A1799:L1799"/>
    <mergeCell ref="C1800:D1800"/>
    <mergeCell ref="J1800:L1800"/>
    <mergeCell ref="B1793:D1793"/>
    <mergeCell ref="A1794:L1794"/>
    <mergeCell ref="C1795:D1795"/>
    <mergeCell ref="J1795:L1795"/>
    <mergeCell ref="B1796:D1796"/>
    <mergeCell ref="G1796:H1796"/>
    <mergeCell ref="I1796:J1796"/>
    <mergeCell ref="K1796:L1796"/>
    <mergeCell ref="B1791:D1791"/>
    <mergeCell ref="G1791:H1791"/>
    <mergeCell ref="I1791:J1791"/>
    <mergeCell ref="K1791:L1791"/>
    <mergeCell ref="B1792:D1792"/>
    <mergeCell ref="I1792:J1792"/>
    <mergeCell ref="F1785:F1786"/>
    <mergeCell ref="G1785:J1785"/>
    <mergeCell ref="G1786:J1786"/>
    <mergeCell ref="A1789:L1789"/>
    <mergeCell ref="C1790:D1790"/>
    <mergeCell ref="J1790:L1790"/>
    <mergeCell ref="B1779:D1779"/>
    <mergeCell ref="B1780:D1780"/>
    <mergeCell ref="B1781:D1781"/>
    <mergeCell ref="B1782:D1782"/>
    <mergeCell ref="B1783:D1783"/>
    <mergeCell ref="B1784:D1784"/>
    <mergeCell ref="A1776:L1776"/>
    <mergeCell ref="C1777:D1777"/>
    <mergeCell ref="J1777:L1777"/>
    <mergeCell ref="B1778:D1778"/>
    <mergeCell ref="G1778:H1778"/>
    <mergeCell ref="K1778:L1778"/>
    <mergeCell ref="A1773:C1773"/>
    <mergeCell ref="D1773:L1773"/>
    <mergeCell ref="A1774:C1774"/>
    <mergeCell ref="D1774:L1774"/>
    <mergeCell ref="A1775:C1775"/>
    <mergeCell ref="D1775:L1775"/>
    <mergeCell ref="A1770:C1770"/>
    <mergeCell ref="D1770:L1770"/>
    <mergeCell ref="A1771:C1771"/>
    <mergeCell ref="D1771:L1771"/>
    <mergeCell ref="A1772:C1772"/>
    <mergeCell ref="D1772:L1772"/>
    <mergeCell ref="A1766:L1766"/>
    <mergeCell ref="A1767:C1767"/>
    <mergeCell ref="D1767:L1767"/>
    <mergeCell ref="A1768:C1768"/>
    <mergeCell ref="D1768:L1768"/>
    <mergeCell ref="A1769:C1769"/>
    <mergeCell ref="D1769:L1769"/>
    <mergeCell ref="B1758:D1758"/>
    <mergeCell ref="B1759:D1759"/>
    <mergeCell ref="B1760:D1760"/>
    <mergeCell ref="B1761:D1761"/>
    <mergeCell ref="F1762:F1763"/>
    <mergeCell ref="G1762:J1762"/>
    <mergeCell ref="G1763:J1763"/>
    <mergeCell ref="B1754:D1754"/>
    <mergeCell ref="G1754:H1754"/>
    <mergeCell ref="K1754:L1754"/>
    <mergeCell ref="B1755:D1755"/>
    <mergeCell ref="B1756:D1756"/>
    <mergeCell ref="B1757:D1757"/>
    <mergeCell ref="B1747:D1747"/>
    <mergeCell ref="F1748:F1749"/>
    <mergeCell ref="G1748:J1748"/>
    <mergeCell ref="G1749:J1749"/>
    <mergeCell ref="A1752:L1752"/>
    <mergeCell ref="C1753:D1753"/>
    <mergeCell ref="J1753:L1753"/>
    <mergeCell ref="B1741:D1741"/>
    <mergeCell ref="B1742:D1742"/>
    <mergeCell ref="B1743:D1743"/>
    <mergeCell ref="B1744:D1744"/>
    <mergeCell ref="B1745:D1745"/>
    <mergeCell ref="B1746:D1746"/>
    <mergeCell ref="G1734:J1734"/>
    <mergeCell ref="G1735:J1735"/>
    <mergeCell ref="A1738:L1738"/>
    <mergeCell ref="C1739:D1739"/>
    <mergeCell ref="J1739:L1739"/>
    <mergeCell ref="B1740:D1740"/>
    <mergeCell ref="G1740:H1740"/>
    <mergeCell ref="K1740:L1740"/>
    <mergeCell ref="B1730:D1730"/>
    <mergeCell ref="B1731:D1731"/>
    <mergeCell ref="B1732:D1732"/>
    <mergeCell ref="B1733:D1733"/>
    <mergeCell ref="B1734:D1734"/>
    <mergeCell ref="F1734:F1735"/>
    <mergeCell ref="A1726:C1726"/>
    <mergeCell ref="D1726:L1726"/>
    <mergeCell ref="A1727:L1727"/>
    <mergeCell ref="C1728:D1728"/>
    <mergeCell ref="J1728:L1728"/>
    <mergeCell ref="B1729:D1729"/>
    <mergeCell ref="G1729:H1729"/>
    <mergeCell ref="K1729:L1729"/>
    <mergeCell ref="A1723:C1723"/>
    <mergeCell ref="D1723:L1723"/>
    <mergeCell ref="A1724:C1724"/>
    <mergeCell ref="D1724:L1724"/>
    <mergeCell ref="A1725:C1725"/>
    <mergeCell ref="D1725:L1725"/>
    <mergeCell ref="A1720:C1720"/>
    <mergeCell ref="D1720:L1720"/>
    <mergeCell ref="A1721:C1721"/>
    <mergeCell ref="D1721:L1721"/>
    <mergeCell ref="A1722:C1722"/>
    <mergeCell ref="D1722:L1722"/>
    <mergeCell ref="G1716:I1716"/>
    <mergeCell ref="A1717:L1717"/>
    <mergeCell ref="A1718:C1718"/>
    <mergeCell ref="D1718:L1718"/>
    <mergeCell ref="A1719:C1719"/>
    <mergeCell ref="D1719:L1719"/>
    <mergeCell ref="B1710:D1710"/>
    <mergeCell ref="B1711:D1711"/>
    <mergeCell ref="B1712:D1712"/>
    <mergeCell ref="F1714:F1715"/>
    <mergeCell ref="G1714:J1714"/>
    <mergeCell ref="G1715:J1715"/>
    <mergeCell ref="B1704:D1704"/>
    <mergeCell ref="B1705:D1705"/>
    <mergeCell ref="B1706:D1706"/>
    <mergeCell ref="B1707:D1707"/>
    <mergeCell ref="B1708:D1708"/>
    <mergeCell ref="B1709:D1709"/>
    <mergeCell ref="A1700:L1700"/>
    <mergeCell ref="C1701:D1701"/>
    <mergeCell ref="J1701:L1701"/>
    <mergeCell ref="B1702:D1702"/>
    <mergeCell ref="K1702:L1702"/>
    <mergeCell ref="B1703:D1703"/>
    <mergeCell ref="B1697:D1697"/>
    <mergeCell ref="I1697:J1697"/>
    <mergeCell ref="K1697:L1697"/>
    <mergeCell ref="B1698:D1698"/>
    <mergeCell ref="I1698:J1698"/>
    <mergeCell ref="B1699:D1699"/>
    <mergeCell ref="E1699:H1699"/>
    <mergeCell ref="B1693:D1693"/>
    <mergeCell ref="I1693:J1693"/>
    <mergeCell ref="B1694:D1694"/>
    <mergeCell ref="A1695:L1695"/>
    <mergeCell ref="C1696:D1696"/>
    <mergeCell ref="J1696:L1696"/>
    <mergeCell ref="B1691:D1691"/>
    <mergeCell ref="G1691:H1691"/>
    <mergeCell ref="I1691:J1691"/>
    <mergeCell ref="K1691:L1691"/>
    <mergeCell ref="B1692:D1692"/>
    <mergeCell ref="I1692:J1692"/>
    <mergeCell ref="B1687:D1687"/>
    <mergeCell ref="I1687:J1687"/>
    <mergeCell ref="B1688:D1688"/>
    <mergeCell ref="A1689:L1689"/>
    <mergeCell ref="C1690:D1690"/>
    <mergeCell ref="J1690:L1690"/>
    <mergeCell ref="B1685:D1685"/>
    <mergeCell ref="G1685:H1685"/>
    <mergeCell ref="I1685:J1685"/>
    <mergeCell ref="K1685:L1685"/>
    <mergeCell ref="B1686:D1686"/>
    <mergeCell ref="I1686:J1686"/>
    <mergeCell ref="B1681:D1681"/>
    <mergeCell ref="I1681:J1681"/>
    <mergeCell ref="B1682:D1682"/>
    <mergeCell ref="E1682:H1682"/>
    <mergeCell ref="A1683:L1683"/>
    <mergeCell ref="C1684:D1684"/>
    <mergeCell ref="J1684:L1684"/>
    <mergeCell ref="A1678:L1678"/>
    <mergeCell ref="C1679:D1679"/>
    <mergeCell ref="J1679:L1679"/>
    <mergeCell ref="B1680:D1680"/>
    <mergeCell ref="I1680:J1680"/>
    <mergeCell ref="K1680:L1680"/>
    <mergeCell ref="B1675:D1675"/>
    <mergeCell ref="I1675:J1675"/>
    <mergeCell ref="K1675:L1675"/>
    <mergeCell ref="B1676:D1676"/>
    <mergeCell ref="I1676:J1676"/>
    <mergeCell ref="B1677:D1677"/>
    <mergeCell ref="E1677:H1677"/>
    <mergeCell ref="B1671:D1671"/>
    <mergeCell ref="I1671:J1671"/>
    <mergeCell ref="B1672:D1672"/>
    <mergeCell ref="E1672:H1672"/>
    <mergeCell ref="A1673:L1673"/>
    <mergeCell ref="C1674:D1674"/>
    <mergeCell ref="J1674:L1674"/>
    <mergeCell ref="A1668:L1668"/>
    <mergeCell ref="C1669:D1669"/>
    <mergeCell ref="J1669:L1669"/>
    <mergeCell ref="B1670:D1670"/>
    <mergeCell ref="I1670:J1670"/>
    <mergeCell ref="K1670:L1670"/>
    <mergeCell ref="B1665:D1665"/>
    <mergeCell ref="I1665:J1665"/>
    <mergeCell ref="K1665:L1665"/>
    <mergeCell ref="B1666:D1666"/>
    <mergeCell ref="I1666:J1666"/>
    <mergeCell ref="B1667:D1667"/>
    <mergeCell ref="E1667:H1667"/>
    <mergeCell ref="B1661:D1661"/>
    <mergeCell ref="I1661:J1661"/>
    <mergeCell ref="B1662:D1662"/>
    <mergeCell ref="A1663:L1663"/>
    <mergeCell ref="C1664:D1664"/>
    <mergeCell ref="J1664:L1664"/>
    <mergeCell ref="A1657:C1657"/>
    <mergeCell ref="D1657:L1657"/>
    <mergeCell ref="A1658:L1658"/>
    <mergeCell ref="C1659:D1659"/>
    <mergeCell ref="J1659:L1659"/>
    <mergeCell ref="B1660:D1660"/>
    <mergeCell ref="I1660:J1660"/>
    <mergeCell ref="K1660:L1660"/>
    <mergeCell ref="A1654:C1654"/>
    <mergeCell ref="D1654:L1654"/>
    <mergeCell ref="A1655:C1655"/>
    <mergeCell ref="D1655:L1655"/>
    <mergeCell ref="A1656:C1656"/>
    <mergeCell ref="D1656:L1656"/>
    <mergeCell ref="A1651:C1651"/>
    <mergeCell ref="D1651:L1651"/>
    <mergeCell ref="A1652:C1652"/>
    <mergeCell ref="D1652:L1652"/>
    <mergeCell ref="A1653:C1653"/>
    <mergeCell ref="D1653:L1653"/>
    <mergeCell ref="B1646:D1646"/>
    <mergeCell ref="A1648:L1648"/>
    <mergeCell ref="A1649:C1649"/>
    <mergeCell ref="D1649:L1649"/>
    <mergeCell ref="A1650:C1650"/>
    <mergeCell ref="D1650:L1650"/>
    <mergeCell ref="B1639:D1639"/>
    <mergeCell ref="B1640:D1640"/>
    <mergeCell ref="B1641:D1641"/>
    <mergeCell ref="B1642:D1642"/>
    <mergeCell ref="F1644:F1645"/>
    <mergeCell ref="G1644:J1644"/>
    <mergeCell ref="G1645:J1645"/>
    <mergeCell ref="B1635:D1635"/>
    <mergeCell ref="E1635:H1635"/>
    <mergeCell ref="A1636:L1636"/>
    <mergeCell ref="J1637:L1637"/>
    <mergeCell ref="G1638:H1638"/>
    <mergeCell ref="K1638:L1638"/>
    <mergeCell ref="C1632:D1632"/>
    <mergeCell ref="J1632:L1632"/>
    <mergeCell ref="B1633:D1633"/>
    <mergeCell ref="I1633:J1633"/>
    <mergeCell ref="K1633:L1633"/>
    <mergeCell ref="B1634:D1634"/>
    <mergeCell ref="I1634:J1634"/>
    <mergeCell ref="B1625:D1625"/>
    <mergeCell ref="I1625:J1625"/>
    <mergeCell ref="B1626:D1626"/>
    <mergeCell ref="G1627:I1627"/>
    <mergeCell ref="A1628:L1630"/>
    <mergeCell ref="A1631:L1631"/>
    <mergeCell ref="A1622:L1622"/>
    <mergeCell ref="C1623:D1623"/>
    <mergeCell ref="J1623:L1623"/>
    <mergeCell ref="B1624:D1624"/>
    <mergeCell ref="I1624:J1624"/>
    <mergeCell ref="K1624:L1624"/>
    <mergeCell ref="A1619:C1619"/>
    <mergeCell ref="D1619:L1619"/>
    <mergeCell ref="A1620:C1620"/>
    <mergeCell ref="D1620:L1620"/>
    <mergeCell ref="A1621:C1621"/>
    <mergeCell ref="D1621:L1621"/>
    <mergeCell ref="A1616:C1616"/>
    <mergeCell ref="D1616:L1616"/>
    <mergeCell ref="A1617:C1617"/>
    <mergeCell ref="D1617:L1617"/>
    <mergeCell ref="A1618:C1618"/>
    <mergeCell ref="D1618:L1618"/>
    <mergeCell ref="A1612:L1612"/>
    <mergeCell ref="A1613:C1613"/>
    <mergeCell ref="D1613:L1613"/>
    <mergeCell ref="A1614:C1614"/>
    <mergeCell ref="D1614:L1614"/>
    <mergeCell ref="A1615:C1615"/>
    <mergeCell ref="D1615:L1615"/>
    <mergeCell ref="B1605:D1605"/>
    <mergeCell ref="B1606:D1606"/>
    <mergeCell ref="B1607:D1607"/>
    <mergeCell ref="F1608:F1609"/>
    <mergeCell ref="G1608:J1608"/>
    <mergeCell ref="G1609:J1609"/>
    <mergeCell ref="B1599:D1599"/>
    <mergeCell ref="B1600:D1600"/>
    <mergeCell ref="B1601:D1601"/>
    <mergeCell ref="B1602:D1602"/>
    <mergeCell ref="B1603:D1603"/>
    <mergeCell ref="B1604:D1604"/>
    <mergeCell ref="B1595:D1595"/>
    <mergeCell ref="G1595:H1595"/>
    <mergeCell ref="K1595:L1595"/>
    <mergeCell ref="B1596:D1596"/>
    <mergeCell ref="B1597:D1597"/>
    <mergeCell ref="B1598:D1598"/>
    <mergeCell ref="F1589:F1590"/>
    <mergeCell ref="G1589:J1589"/>
    <mergeCell ref="G1590:J1590"/>
    <mergeCell ref="A1593:L1593"/>
    <mergeCell ref="C1594:D1594"/>
    <mergeCell ref="J1594:L1594"/>
    <mergeCell ref="B1583:D1583"/>
    <mergeCell ref="B1584:D1584"/>
    <mergeCell ref="B1585:D1585"/>
    <mergeCell ref="B1586:D1586"/>
    <mergeCell ref="B1587:D1587"/>
    <mergeCell ref="B1588:D1588"/>
    <mergeCell ref="B1577:D1577"/>
    <mergeCell ref="B1578:D1578"/>
    <mergeCell ref="B1579:D1579"/>
    <mergeCell ref="B1580:D1580"/>
    <mergeCell ref="B1581:D1581"/>
    <mergeCell ref="B1582:D1582"/>
    <mergeCell ref="B1573:D1573"/>
    <mergeCell ref="A1574:L1574"/>
    <mergeCell ref="C1575:D1575"/>
    <mergeCell ref="J1575:L1575"/>
    <mergeCell ref="B1576:D1576"/>
    <mergeCell ref="G1576:H1576"/>
    <mergeCell ref="K1576:L1576"/>
    <mergeCell ref="B1565:D1565"/>
    <mergeCell ref="B1566:D1566"/>
    <mergeCell ref="B1567:D1567"/>
    <mergeCell ref="B1568:D1568"/>
    <mergeCell ref="F1570:F1571"/>
    <mergeCell ref="G1570:J1570"/>
    <mergeCell ref="G1571:J1571"/>
    <mergeCell ref="A1561:C1561"/>
    <mergeCell ref="D1561:L1561"/>
    <mergeCell ref="A1562:L1562"/>
    <mergeCell ref="C1563:D1563"/>
    <mergeCell ref="J1563:L1563"/>
    <mergeCell ref="B1564:D1564"/>
    <mergeCell ref="G1564:H1564"/>
    <mergeCell ref="K1564:L1564"/>
    <mergeCell ref="A1558:C1558"/>
    <mergeCell ref="D1558:L1558"/>
    <mergeCell ref="A1559:C1559"/>
    <mergeCell ref="D1559:L1559"/>
    <mergeCell ref="A1560:C1560"/>
    <mergeCell ref="D1560:L1560"/>
    <mergeCell ref="A1555:C1555"/>
    <mergeCell ref="D1555:L1555"/>
    <mergeCell ref="A1556:C1556"/>
    <mergeCell ref="D1556:L1556"/>
    <mergeCell ref="A1557:C1557"/>
    <mergeCell ref="D1557:L1557"/>
    <mergeCell ref="F1551:I1551"/>
    <mergeCell ref="A1552:L1552"/>
    <mergeCell ref="A1553:C1553"/>
    <mergeCell ref="D1553:L1553"/>
    <mergeCell ref="A1554:C1554"/>
    <mergeCell ref="D1554:L1554"/>
    <mergeCell ref="B1545:D1545"/>
    <mergeCell ref="B1546:D1546"/>
    <mergeCell ref="B1547:D1547"/>
    <mergeCell ref="F1548:F1549"/>
    <mergeCell ref="G1548:J1548"/>
    <mergeCell ref="G1549:J1549"/>
    <mergeCell ref="B1539:D1539"/>
    <mergeCell ref="B1540:D1540"/>
    <mergeCell ref="B1541:D1541"/>
    <mergeCell ref="B1542:D1542"/>
    <mergeCell ref="B1543:D1543"/>
    <mergeCell ref="B1544:D1544"/>
    <mergeCell ref="B1535:D1535"/>
    <mergeCell ref="G1535:H1535"/>
    <mergeCell ref="K1535:L1535"/>
    <mergeCell ref="B1536:D1536"/>
    <mergeCell ref="B1537:D1537"/>
    <mergeCell ref="B1538:D1538"/>
    <mergeCell ref="A1531:C1531"/>
    <mergeCell ref="D1531:L1531"/>
    <mergeCell ref="A1532:C1532"/>
    <mergeCell ref="D1532:L1532"/>
    <mergeCell ref="A1533:L1533"/>
    <mergeCell ref="C1534:D1534"/>
    <mergeCell ref="J1534:L1534"/>
    <mergeCell ref="A1528:C1528"/>
    <mergeCell ref="D1528:L1528"/>
    <mergeCell ref="A1529:C1529"/>
    <mergeCell ref="D1529:L1529"/>
    <mergeCell ref="A1530:C1530"/>
    <mergeCell ref="D1530:L1530"/>
    <mergeCell ref="A1525:C1525"/>
    <mergeCell ref="D1525:L1525"/>
    <mergeCell ref="A1526:C1526"/>
    <mergeCell ref="D1526:L1526"/>
    <mergeCell ref="A1527:C1527"/>
    <mergeCell ref="D1527:L1527"/>
    <mergeCell ref="B1518:D1518"/>
    <mergeCell ref="F1519:F1520"/>
    <mergeCell ref="G1519:J1519"/>
    <mergeCell ref="G1520:J1520"/>
    <mergeCell ref="A1523:L1523"/>
    <mergeCell ref="A1524:C1524"/>
    <mergeCell ref="D1524:L1524"/>
    <mergeCell ref="B1512:D1512"/>
    <mergeCell ref="B1513:D1513"/>
    <mergeCell ref="B1514:D1514"/>
    <mergeCell ref="B1515:D1515"/>
    <mergeCell ref="B1516:D1516"/>
    <mergeCell ref="B1517:D1517"/>
    <mergeCell ref="B1507:D1507"/>
    <mergeCell ref="B1508:D1508"/>
    <mergeCell ref="B1509:D1509"/>
    <mergeCell ref="B1510:D1510"/>
    <mergeCell ref="B1511:D1511"/>
    <mergeCell ref="B1502:D1502"/>
    <mergeCell ref="I1502:J1502"/>
    <mergeCell ref="A1504:L1504"/>
    <mergeCell ref="C1505:D1505"/>
    <mergeCell ref="B1506:D1506"/>
    <mergeCell ref="G1506:H1506"/>
    <mergeCell ref="K1506:L1506"/>
    <mergeCell ref="A1499:L1499"/>
    <mergeCell ref="C1500:D1500"/>
    <mergeCell ref="J1500:L1500"/>
    <mergeCell ref="B1501:D1501"/>
    <mergeCell ref="G1501:H1501"/>
    <mergeCell ref="I1501:J1501"/>
    <mergeCell ref="K1501:L1501"/>
    <mergeCell ref="B1496:D1496"/>
    <mergeCell ref="G1496:H1496"/>
    <mergeCell ref="I1496:J1496"/>
    <mergeCell ref="K1496:L1496"/>
    <mergeCell ref="B1497:D1497"/>
    <mergeCell ref="I1497:J1497"/>
    <mergeCell ref="B1492:D1492"/>
    <mergeCell ref="I1492:J1492"/>
    <mergeCell ref="B1493:D1493"/>
    <mergeCell ref="E1493:H1493"/>
    <mergeCell ref="A1494:L1494"/>
    <mergeCell ref="C1495:D1495"/>
    <mergeCell ref="J1495:L1495"/>
    <mergeCell ref="B1488:D1488"/>
    <mergeCell ref="E1488:H1488"/>
    <mergeCell ref="A1489:L1489"/>
    <mergeCell ref="C1490:D1490"/>
    <mergeCell ref="J1490:L1490"/>
    <mergeCell ref="B1491:D1491"/>
    <mergeCell ref="I1491:J1491"/>
    <mergeCell ref="K1491:L1491"/>
    <mergeCell ref="B1486:D1486"/>
    <mergeCell ref="G1486:H1486"/>
    <mergeCell ref="I1486:J1486"/>
    <mergeCell ref="K1486:L1486"/>
    <mergeCell ref="B1487:D1487"/>
    <mergeCell ref="I1487:J1487"/>
    <mergeCell ref="B1482:D1482"/>
    <mergeCell ref="I1482:J1482"/>
    <mergeCell ref="B1483:D1483"/>
    <mergeCell ref="E1483:H1483"/>
    <mergeCell ref="A1484:L1484"/>
    <mergeCell ref="C1485:D1485"/>
    <mergeCell ref="J1485:L1485"/>
    <mergeCell ref="A1479:L1479"/>
    <mergeCell ref="C1480:D1480"/>
    <mergeCell ref="J1480:L1480"/>
    <mergeCell ref="B1481:D1481"/>
    <mergeCell ref="I1481:J1481"/>
    <mergeCell ref="K1481:L1481"/>
    <mergeCell ref="A1476:C1476"/>
    <mergeCell ref="D1476:L1476"/>
    <mergeCell ref="A1477:C1477"/>
    <mergeCell ref="D1477:L1477"/>
    <mergeCell ref="A1478:C1478"/>
    <mergeCell ref="D1478:L1478"/>
    <mergeCell ref="A1473:C1473"/>
    <mergeCell ref="D1473:L1473"/>
    <mergeCell ref="A1474:C1474"/>
    <mergeCell ref="D1474:L1474"/>
    <mergeCell ref="A1475:C1475"/>
    <mergeCell ref="D1475:L1475"/>
    <mergeCell ref="A1470:C1470"/>
    <mergeCell ref="D1470:L1470"/>
    <mergeCell ref="A1471:C1471"/>
    <mergeCell ref="D1471:L1471"/>
    <mergeCell ref="A1472:C1472"/>
    <mergeCell ref="D1472:L1472"/>
    <mergeCell ref="B1464:D1464"/>
    <mergeCell ref="F1465:F1466"/>
    <mergeCell ref="G1465:J1465"/>
    <mergeCell ref="G1466:J1466"/>
    <mergeCell ref="G1468:I1468"/>
    <mergeCell ref="A1469:L1469"/>
    <mergeCell ref="B1458:D1458"/>
    <mergeCell ref="I1459:J1459"/>
    <mergeCell ref="B1460:D1460"/>
    <mergeCell ref="B1461:D1461"/>
    <mergeCell ref="B1462:D1462"/>
    <mergeCell ref="B1463:D1463"/>
    <mergeCell ref="B1455:D1455"/>
    <mergeCell ref="G1455:H1455"/>
    <mergeCell ref="K1455:L1455"/>
    <mergeCell ref="B1456:D1456"/>
    <mergeCell ref="B1457:D1457"/>
    <mergeCell ref="B1451:D1451"/>
    <mergeCell ref="I1451:J1451"/>
    <mergeCell ref="B1452:D1452"/>
    <mergeCell ref="E1452:H1452"/>
    <mergeCell ref="A1453:L1453"/>
    <mergeCell ref="C1454:D1454"/>
    <mergeCell ref="J1454:L1454"/>
    <mergeCell ref="A1448:L1448"/>
    <mergeCell ref="C1449:D1449"/>
    <mergeCell ref="J1449:L1449"/>
    <mergeCell ref="B1450:D1450"/>
    <mergeCell ref="I1450:J1450"/>
    <mergeCell ref="K1450:L1450"/>
    <mergeCell ref="B1442:D1442"/>
    <mergeCell ref="B1443:D1443"/>
    <mergeCell ref="F1444:F1445"/>
    <mergeCell ref="G1444:J1444"/>
    <mergeCell ref="G1445:J1445"/>
    <mergeCell ref="B1446:D1447"/>
    <mergeCell ref="B1437:D1437"/>
    <mergeCell ref="B1438:D1438"/>
    <mergeCell ref="B1439:D1439"/>
    <mergeCell ref="B1440:D1440"/>
    <mergeCell ref="B1441:D1441"/>
    <mergeCell ref="B1431:D1431"/>
    <mergeCell ref="B1432:D1432"/>
    <mergeCell ref="A1434:L1434"/>
    <mergeCell ref="C1435:D1435"/>
    <mergeCell ref="J1435:L1435"/>
    <mergeCell ref="B1436:D1436"/>
    <mergeCell ref="G1436:H1436"/>
    <mergeCell ref="B1427:D1427"/>
    <mergeCell ref="G1427:H1427"/>
    <mergeCell ref="K1427:L1427"/>
    <mergeCell ref="B1428:D1428"/>
    <mergeCell ref="B1429:D1429"/>
    <mergeCell ref="B1430:D1430"/>
    <mergeCell ref="B1421:D1421"/>
    <mergeCell ref="B1422:D1422"/>
    <mergeCell ref="B1423:D1423"/>
    <mergeCell ref="A1425:L1425"/>
    <mergeCell ref="C1426:D1426"/>
    <mergeCell ref="J1426:L1426"/>
    <mergeCell ref="B1417:D1417"/>
    <mergeCell ref="G1417:H1417"/>
    <mergeCell ref="K1417:L1417"/>
    <mergeCell ref="B1418:D1418"/>
    <mergeCell ref="B1419:D1419"/>
    <mergeCell ref="B1420:D1420"/>
    <mergeCell ref="A1413:C1413"/>
    <mergeCell ref="D1413:L1413"/>
    <mergeCell ref="A1414:C1414"/>
    <mergeCell ref="D1414:L1414"/>
    <mergeCell ref="A1415:L1415"/>
    <mergeCell ref="C1416:D1416"/>
    <mergeCell ref="J1416:L1416"/>
    <mergeCell ref="A1410:C1410"/>
    <mergeCell ref="D1410:L1410"/>
    <mergeCell ref="A1411:C1411"/>
    <mergeCell ref="D1411:L1411"/>
    <mergeCell ref="A1412:C1412"/>
    <mergeCell ref="D1412:L1412"/>
    <mergeCell ref="A1407:C1407"/>
    <mergeCell ref="D1407:L1407"/>
    <mergeCell ref="A1408:C1408"/>
    <mergeCell ref="D1408:L1408"/>
    <mergeCell ref="A1409:C1409"/>
    <mergeCell ref="D1409:L1409"/>
    <mergeCell ref="B1400:D1400"/>
    <mergeCell ref="B1401:D1401"/>
    <mergeCell ref="B1402:D1402"/>
    <mergeCell ref="A1405:L1405"/>
    <mergeCell ref="A1406:C1406"/>
    <mergeCell ref="D1406:L1406"/>
    <mergeCell ref="B1394:D1394"/>
    <mergeCell ref="B1395:D1395"/>
    <mergeCell ref="B1396:D1396"/>
    <mergeCell ref="B1397:D1397"/>
    <mergeCell ref="B1398:D1398"/>
    <mergeCell ref="B1399:D1399"/>
    <mergeCell ref="B1389:D1389"/>
    <mergeCell ref="B1390:D1390"/>
    <mergeCell ref="B1391:D1391"/>
    <mergeCell ref="I1392:J1392"/>
    <mergeCell ref="B1393:D1393"/>
    <mergeCell ref="A1385:C1385"/>
    <mergeCell ref="D1385:L1385"/>
    <mergeCell ref="A1386:L1386"/>
    <mergeCell ref="C1387:D1387"/>
    <mergeCell ref="J1387:L1387"/>
    <mergeCell ref="B1388:D1388"/>
    <mergeCell ref="G1388:H1388"/>
    <mergeCell ref="K1388:L1388"/>
    <mergeCell ref="A1382:C1382"/>
    <mergeCell ref="D1382:L1382"/>
    <mergeCell ref="A1383:C1383"/>
    <mergeCell ref="D1383:L1383"/>
    <mergeCell ref="A1384:C1384"/>
    <mergeCell ref="D1384:L1384"/>
    <mergeCell ref="A1379:C1379"/>
    <mergeCell ref="D1379:L1379"/>
    <mergeCell ref="A1380:C1380"/>
    <mergeCell ref="D1380:L1380"/>
    <mergeCell ref="A1381:C1381"/>
    <mergeCell ref="D1381:L1381"/>
    <mergeCell ref="B1373:D1373"/>
    <mergeCell ref="A1376:L1376"/>
    <mergeCell ref="A1377:C1377"/>
    <mergeCell ref="D1377:L1377"/>
    <mergeCell ref="A1378:C1378"/>
    <mergeCell ref="D1378:L1378"/>
    <mergeCell ref="B1369:D1369"/>
    <mergeCell ref="G1369:H1369"/>
    <mergeCell ref="K1369:L1369"/>
    <mergeCell ref="B1370:D1370"/>
    <mergeCell ref="B1371:D1371"/>
    <mergeCell ref="B1372:D1372"/>
    <mergeCell ref="B1362:D1362"/>
    <mergeCell ref="B1363:D1363"/>
    <mergeCell ref="B1364:D1364"/>
    <mergeCell ref="B1365:D1365"/>
    <mergeCell ref="A1367:L1367"/>
    <mergeCell ref="C1368:D1368"/>
    <mergeCell ref="J1368:L1368"/>
    <mergeCell ref="A1359:L1359"/>
    <mergeCell ref="C1360:D1360"/>
    <mergeCell ref="J1360:L1360"/>
    <mergeCell ref="B1361:D1361"/>
    <mergeCell ref="G1361:H1361"/>
    <mergeCell ref="K1361:L1361"/>
    <mergeCell ref="B1352:D1352"/>
    <mergeCell ref="B1353:D1353"/>
    <mergeCell ref="B1354:D1354"/>
    <mergeCell ref="B1355:D1355"/>
    <mergeCell ref="B1356:D1356"/>
    <mergeCell ref="B1357:D1357"/>
    <mergeCell ref="B1346:D1346"/>
    <mergeCell ref="B1347:D1347"/>
    <mergeCell ref="B1348:D1348"/>
    <mergeCell ref="B1349:D1349"/>
    <mergeCell ref="B1350:D1350"/>
    <mergeCell ref="B1351:D1351"/>
    <mergeCell ref="B1340:D1340"/>
    <mergeCell ref="B1341:D1341"/>
    <mergeCell ref="B1342:D1342"/>
    <mergeCell ref="B1343:D1343"/>
    <mergeCell ref="B1344:D1344"/>
    <mergeCell ref="B1345:D1345"/>
    <mergeCell ref="A1337:L1337"/>
    <mergeCell ref="C1338:D1338"/>
    <mergeCell ref="J1338:L1338"/>
    <mergeCell ref="B1339:D1339"/>
    <mergeCell ref="G1339:H1339"/>
    <mergeCell ref="K1339:L1339"/>
    <mergeCell ref="B1330:D1330"/>
    <mergeCell ref="B1331:D1331"/>
    <mergeCell ref="B1332:D1332"/>
    <mergeCell ref="B1333:D1333"/>
    <mergeCell ref="B1334:D1334"/>
    <mergeCell ref="B1335:D1335"/>
    <mergeCell ref="B1324:D1324"/>
    <mergeCell ref="B1325:D1325"/>
    <mergeCell ref="B1326:D1326"/>
    <mergeCell ref="B1327:D1327"/>
    <mergeCell ref="B1328:D1328"/>
    <mergeCell ref="B1329:D1329"/>
    <mergeCell ref="B1319:D1319"/>
    <mergeCell ref="A1321:L1321"/>
    <mergeCell ref="C1322:D1322"/>
    <mergeCell ref="J1322:L1322"/>
    <mergeCell ref="B1323:D1323"/>
    <mergeCell ref="G1323:H1323"/>
    <mergeCell ref="K1323:L1323"/>
    <mergeCell ref="B1314:D1314"/>
    <mergeCell ref="B1315:D1315"/>
    <mergeCell ref="B1316:D1316"/>
    <mergeCell ref="B1317:D1317"/>
    <mergeCell ref="B1318:D1318"/>
    <mergeCell ref="B1308:D1308"/>
    <mergeCell ref="B1309:D1309"/>
    <mergeCell ref="B1310:D1310"/>
    <mergeCell ref="B1311:D1311"/>
    <mergeCell ref="B1312:D1312"/>
    <mergeCell ref="B1313:D1313"/>
    <mergeCell ref="B1304:D1304"/>
    <mergeCell ref="G1304:H1304"/>
    <mergeCell ref="K1304:L1304"/>
    <mergeCell ref="B1305:D1305"/>
    <mergeCell ref="B1306:D1306"/>
    <mergeCell ref="B1307:D1307"/>
    <mergeCell ref="B1297:D1297"/>
    <mergeCell ref="B1298:D1298"/>
    <mergeCell ref="B1299:D1299"/>
    <mergeCell ref="B1300:D1300"/>
    <mergeCell ref="A1302:L1302"/>
    <mergeCell ref="C1303:D1303"/>
    <mergeCell ref="J1303:L1303"/>
    <mergeCell ref="C1294:D1294"/>
    <mergeCell ref="J1294:L1294"/>
    <mergeCell ref="B1295:D1295"/>
    <mergeCell ref="G1295:H1295"/>
    <mergeCell ref="K1295:L1295"/>
    <mergeCell ref="B1296:D1296"/>
    <mergeCell ref="B1287:D1287"/>
    <mergeCell ref="B1288:D1288"/>
    <mergeCell ref="B1289:D1289"/>
    <mergeCell ref="B1290:D1290"/>
    <mergeCell ref="B1291:D1291"/>
    <mergeCell ref="A1293:L1293"/>
    <mergeCell ref="B1282:D1282"/>
    <mergeCell ref="B1283:D1283"/>
    <mergeCell ref="B1284:D1284"/>
    <mergeCell ref="B1285:D1285"/>
    <mergeCell ref="B1286:D1286"/>
    <mergeCell ref="B1276:D1276"/>
    <mergeCell ref="B1277:D1277"/>
    <mergeCell ref="B1278:D1278"/>
    <mergeCell ref="B1279:D1279"/>
    <mergeCell ref="B1280:D1280"/>
    <mergeCell ref="B1281:D1281"/>
    <mergeCell ref="C1273:D1273"/>
    <mergeCell ref="J1273:L1273"/>
    <mergeCell ref="B1274:D1274"/>
    <mergeCell ref="G1274:H1274"/>
    <mergeCell ref="K1274:L1274"/>
    <mergeCell ref="B1275:D1275"/>
    <mergeCell ref="B1266:D1266"/>
    <mergeCell ref="B1267:D1267"/>
    <mergeCell ref="B1268:D1268"/>
    <mergeCell ref="B1269:D1269"/>
    <mergeCell ref="B1270:D1270"/>
    <mergeCell ref="A1272:L1272"/>
    <mergeCell ref="B1260:D1260"/>
    <mergeCell ref="B1261:D1261"/>
    <mergeCell ref="A1263:L1263"/>
    <mergeCell ref="C1264:D1264"/>
    <mergeCell ref="J1264:L1264"/>
    <mergeCell ref="B1265:D1265"/>
    <mergeCell ref="G1265:H1265"/>
    <mergeCell ref="K1265:L1265"/>
    <mergeCell ref="B1254:D1254"/>
    <mergeCell ref="B1255:D1255"/>
    <mergeCell ref="B1256:D1256"/>
    <mergeCell ref="B1257:D1257"/>
    <mergeCell ref="B1258:D1258"/>
    <mergeCell ref="B1259:D1259"/>
    <mergeCell ref="B1248:D1248"/>
    <mergeCell ref="B1249:D1249"/>
    <mergeCell ref="B1250:D1250"/>
    <mergeCell ref="B1251:D1251"/>
    <mergeCell ref="B1252:D1252"/>
    <mergeCell ref="B1253:D1253"/>
    <mergeCell ref="B1243:D1243"/>
    <mergeCell ref="G1243:H1243"/>
    <mergeCell ref="K1243:L1243"/>
    <mergeCell ref="B1244:D1244"/>
    <mergeCell ref="B1245:D1245"/>
    <mergeCell ref="B1246:D1246"/>
    <mergeCell ref="B1247:D1247"/>
    <mergeCell ref="B1237:D1237"/>
    <mergeCell ref="B1238:D1238"/>
    <mergeCell ref="B1239:D1239"/>
    <mergeCell ref="A1241:L1241"/>
    <mergeCell ref="C1242:D1242"/>
    <mergeCell ref="J1242:L1242"/>
    <mergeCell ref="B1232:D1232"/>
    <mergeCell ref="B1233:D1233"/>
    <mergeCell ref="B1234:D1234"/>
    <mergeCell ref="B1235:D1235"/>
    <mergeCell ref="B1236:D1236"/>
    <mergeCell ref="B1227:D1227"/>
    <mergeCell ref="B1228:D1228"/>
    <mergeCell ref="B1229:D1229"/>
    <mergeCell ref="B1230:D1230"/>
    <mergeCell ref="B1231:D1231"/>
    <mergeCell ref="C1225:D1225"/>
    <mergeCell ref="J1225:L1225"/>
    <mergeCell ref="B1226:D1226"/>
    <mergeCell ref="G1226:H1226"/>
    <mergeCell ref="K1226:L1226"/>
    <mergeCell ref="B1219:D1219"/>
    <mergeCell ref="B1220:D1220"/>
    <mergeCell ref="B1221:D1221"/>
    <mergeCell ref="B1222:D1222"/>
    <mergeCell ref="A1224:L1224"/>
    <mergeCell ref="B1213:D1213"/>
    <mergeCell ref="B1214:D1214"/>
    <mergeCell ref="B1215:D1215"/>
    <mergeCell ref="B1216:D1216"/>
    <mergeCell ref="B1217:D1217"/>
    <mergeCell ref="B1218:D1218"/>
    <mergeCell ref="B1207:D1207"/>
    <mergeCell ref="B1208:D1208"/>
    <mergeCell ref="B1209:D1209"/>
    <mergeCell ref="B1210:D1210"/>
    <mergeCell ref="B1211:D1211"/>
    <mergeCell ref="B1212:D1212"/>
    <mergeCell ref="C1204:D1204"/>
    <mergeCell ref="J1204:L1204"/>
    <mergeCell ref="B1205:D1205"/>
    <mergeCell ref="G1205:H1205"/>
    <mergeCell ref="K1205:L1205"/>
    <mergeCell ref="B1206:D1206"/>
    <mergeCell ref="B1198:D1198"/>
    <mergeCell ref="B1199:D1199"/>
    <mergeCell ref="B1200:D1200"/>
    <mergeCell ref="B1201:D1201"/>
    <mergeCell ref="A1203:L1203"/>
    <mergeCell ref="B1192:D1192"/>
    <mergeCell ref="B1193:D1193"/>
    <mergeCell ref="B1194:D1194"/>
    <mergeCell ref="B1195:D1195"/>
    <mergeCell ref="B1196:D1196"/>
    <mergeCell ref="B1197:D1197"/>
    <mergeCell ref="A1189:L1189"/>
    <mergeCell ref="C1190:D1190"/>
    <mergeCell ref="J1190:L1190"/>
    <mergeCell ref="B1191:D1191"/>
    <mergeCell ref="G1191:H1191"/>
    <mergeCell ref="K1191:L1191"/>
    <mergeCell ref="B1182:D1182"/>
    <mergeCell ref="B1183:D1183"/>
    <mergeCell ref="B1184:D1184"/>
    <mergeCell ref="B1185:D1185"/>
    <mergeCell ref="B1186:D1186"/>
    <mergeCell ref="B1187:D1187"/>
    <mergeCell ref="B1178:D1178"/>
    <mergeCell ref="G1178:H1178"/>
    <mergeCell ref="K1178:L1178"/>
    <mergeCell ref="B1179:D1179"/>
    <mergeCell ref="B1180:D1180"/>
    <mergeCell ref="B1181:D1181"/>
    <mergeCell ref="A1174:C1174"/>
    <mergeCell ref="D1174:L1174"/>
    <mergeCell ref="A1175:C1175"/>
    <mergeCell ref="D1175:L1175"/>
    <mergeCell ref="A1176:L1176"/>
    <mergeCell ref="C1177:D1177"/>
    <mergeCell ref="J1177:L1177"/>
    <mergeCell ref="A1171:C1171"/>
    <mergeCell ref="D1171:L1171"/>
    <mergeCell ref="A1172:C1172"/>
    <mergeCell ref="D1172:L1172"/>
    <mergeCell ref="A1173:C1173"/>
    <mergeCell ref="D1173:L1173"/>
    <mergeCell ref="A1168:C1168"/>
    <mergeCell ref="D1168:L1168"/>
    <mergeCell ref="A1169:C1169"/>
    <mergeCell ref="D1169:L1169"/>
    <mergeCell ref="A1170:C1170"/>
    <mergeCell ref="D1170:L1170"/>
    <mergeCell ref="B1161:D1161"/>
    <mergeCell ref="B1162:D1162"/>
    <mergeCell ref="B1163:D1163"/>
    <mergeCell ref="A1166:L1166"/>
    <mergeCell ref="A1167:C1167"/>
    <mergeCell ref="D1167:L1167"/>
    <mergeCell ref="B1156:D1156"/>
    <mergeCell ref="B1157:D1157"/>
    <mergeCell ref="B1158:D1158"/>
    <mergeCell ref="B1159:D1159"/>
    <mergeCell ref="B1160:D1160"/>
    <mergeCell ref="B1152:D1152"/>
    <mergeCell ref="B1153:D1153"/>
    <mergeCell ref="B1154:D1154"/>
    <mergeCell ref="B1155:D1155"/>
    <mergeCell ref="B1146:D1146"/>
    <mergeCell ref="B1147:D1147"/>
    <mergeCell ref="B1148:D1148"/>
    <mergeCell ref="B1149:D1149"/>
    <mergeCell ref="B1150:D1150"/>
    <mergeCell ref="B1151:D1151"/>
    <mergeCell ref="B1143:D1143"/>
    <mergeCell ref="G1143:H1143"/>
    <mergeCell ref="K1143:L1143"/>
    <mergeCell ref="B1144:D1144"/>
    <mergeCell ref="B1145:D1145"/>
    <mergeCell ref="B1136:D1136"/>
    <mergeCell ref="B1137:D1137"/>
    <mergeCell ref="B1138:D1138"/>
    <mergeCell ref="B1139:D1139"/>
    <mergeCell ref="A1141:L1141"/>
    <mergeCell ref="C1142:D1142"/>
    <mergeCell ref="J1142:L1142"/>
    <mergeCell ref="B1132:D1132"/>
    <mergeCell ref="B1133:D1133"/>
    <mergeCell ref="B1134:D1134"/>
    <mergeCell ref="B1135:D1135"/>
    <mergeCell ref="B1126:D1126"/>
    <mergeCell ref="B1127:D1127"/>
    <mergeCell ref="B1128:D1128"/>
    <mergeCell ref="B1129:D1129"/>
    <mergeCell ref="B1130:D1130"/>
    <mergeCell ref="B1131:D1131"/>
    <mergeCell ref="B1120:D1120"/>
    <mergeCell ref="B1121:D1121"/>
    <mergeCell ref="B1122:D1122"/>
    <mergeCell ref="B1123:D1123"/>
    <mergeCell ref="B1124:D1124"/>
    <mergeCell ref="B1125:D1125"/>
    <mergeCell ref="B1114:D1114"/>
    <mergeCell ref="B1115:D1115"/>
    <mergeCell ref="A1117:L1117"/>
    <mergeCell ref="C1118:D1118"/>
    <mergeCell ref="J1118:L1118"/>
    <mergeCell ref="B1119:D1119"/>
    <mergeCell ref="G1119:H1119"/>
    <mergeCell ref="K1119:L1119"/>
    <mergeCell ref="B1108:D1108"/>
    <mergeCell ref="B1109:D1109"/>
    <mergeCell ref="B1110:D1110"/>
    <mergeCell ref="B1111:D1111"/>
    <mergeCell ref="B1112:D1112"/>
    <mergeCell ref="B1113:D1113"/>
    <mergeCell ref="B1102:D1102"/>
    <mergeCell ref="B1103:D1103"/>
    <mergeCell ref="B1104:D1104"/>
    <mergeCell ref="B1105:D1105"/>
    <mergeCell ref="B1106:D1106"/>
    <mergeCell ref="B1107:D1107"/>
    <mergeCell ref="B1098:D1098"/>
    <mergeCell ref="G1098:H1098"/>
    <mergeCell ref="K1098:L1098"/>
    <mergeCell ref="B1099:D1099"/>
    <mergeCell ref="B1100:D1100"/>
    <mergeCell ref="B1101:D1101"/>
    <mergeCell ref="B1092:D1092"/>
    <mergeCell ref="B1093:D1093"/>
    <mergeCell ref="B1094:D1094"/>
    <mergeCell ref="A1096:L1096"/>
    <mergeCell ref="C1097:D1097"/>
    <mergeCell ref="J1097:L1097"/>
    <mergeCell ref="C1089:D1089"/>
    <mergeCell ref="J1089:L1089"/>
    <mergeCell ref="B1090:D1090"/>
    <mergeCell ref="G1090:H1090"/>
    <mergeCell ref="K1090:L1090"/>
    <mergeCell ref="B1091:D1091"/>
    <mergeCell ref="B1082:D1082"/>
    <mergeCell ref="B1083:D1083"/>
    <mergeCell ref="B1084:D1084"/>
    <mergeCell ref="B1085:D1085"/>
    <mergeCell ref="B1086:D1086"/>
    <mergeCell ref="A1088:L1088"/>
    <mergeCell ref="B1077:D1077"/>
    <mergeCell ref="B1078:D1078"/>
    <mergeCell ref="B1079:D1079"/>
    <mergeCell ref="B1080:D1080"/>
    <mergeCell ref="B1081:D1081"/>
    <mergeCell ref="B1071:D1071"/>
    <mergeCell ref="B1072:D1072"/>
    <mergeCell ref="B1073:D1073"/>
    <mergeCell ref="B1074:D1074"/>
    <mergeCell ref="B1075:D1075"/>
    <mergeCell ref="B1076:D1076"/>
    <mergeCell ref="B1067:D1067"/>
    <mergeCell ref="G1067:H1067"/>
    <mergeCell ref="K1067:L1067"/>
    <mergeCell ref="B1068:D1068"/>
    <mergeCell ref="B1069:D1069"/>
    <mergeCell ref="B1070:D1070"/>
    <mergeCell ref="B1061:D1061"/>
    <mergeCell ref="B1062:D1062"/>
    <mergeCell ref="B1063:D1063"/>
    <mergeCell ref="A1065:L1065"/>
    <mergeCell ref="C1066:D1066"/>
    <mergeCell ref="J1066:L1066"/>
    <mergeCell ref="B1056:D1056"/>
    <mergeCell ref="B1057:D1057"/>
    <mergeCell ref="B1058:D1058"/>
    <mergeCell ref="B1059:D1059"/>
    <mergeCell ref="B1060:D1060"/>
    <mergeCell ref="B1052:D1052"/>
    <mergeCell ref="G1052:H1052"/>
    <mergeCell ref="K1052:L1052"/>
    <mergeCell ref="B1053:D1053"/>
    <mergeCell ref="B1054:D1054"/>
    <mergeCell ref="B1055:D1055"/>
    <mergeCell ref="B1046:D1046"/>
    <mergeCell ref="B1047:D1047"/>
    <mergeCell ref="B1048:D1048"/>
    <mergeCell ref="A1050:L1050"/>
    <mergeCell ref="C1051:D1051"/>
    <mergeCell ref="J1051:L1051"/>
    <mergeCell ref="B1040:D1040"/>
    <mergeCell ref="B1041:D1041"/>
    <mergeCell ref="B1042:D1042"/>
    <mergeCell ref="B1043:D1043"/>
    <mergeCell ref="B1044:D1044"/>
    <mergeCell ref="B1045:D1045"/>
    <mergeCell ref="B1035:D1035"/>
    <mergeCell ref="B1036:D1036"/>
    <mergeCell ref="B1037:D1037"/>
    <mergeCell ref="B1038:D1038"/>
    <mergeCell ref="B1039:D1039"/>
    <mergeCell ref="B1030:D1030"/>
    <mergeCell ref="A1032:L1032"/>
    <mergeCell ref="C1033:D1033"/>
    <mergeCell ref="J1033:L1033"/>
    <mergeCell ref="B1034:D1034"/>
    <mergeCell ref="G1034:H1034"/>
    <mergeCell ref="K1034:L1034"/>
    <mergeCell ref="B1025:D1025"/>
    <mergeCell ref="B1026:D1026"/>
    <mergeCell ref="B1027:D1027"/>
    <mergeCell ref="B1028:D1028"/>
    <mergeCell ref="B1029:D1029"/>
    <mergeCell ref="B1019:D1019"/>
    <mergeCell ref="B1020:D1020"/>
    <mergeCell ref="B1021:D1021"/>
    <mergeCell ref="B1022:D1022"/>
    <mergeCell ref="B1023:D1023"/>
    <mergeCell ref="B1024:D1024"/>
    <mergeCell ref="A1015:C1015"/>
    <mergeCell ref="D1015:L1015"/>
    <mergeCell ref="A1016:L1016"/>
    <mergeCell ref="C1017:D1017"/>
    <mergeCell ref="J1017:L1017"/>
    <mergeCell ref="B1018:D1018"/>
    <mergeCell ref="G1018:H1018"/>
    <mergeCell ref="K1018:L1018"/>
    <mergeCell ref="A1012:C1012"/>
    <mergeCell ref="D1012:L1012"/>
    <mergeCell ref="A1013:C1013"/>
    <mergeCell ref="D1013:L1013"/>
    <mergeCell ref="A1014:C1014"/>
    <mergeCell ref="D1014:L1014"/>
    <mergeCell ref="A1009:C1009"/>
    <mergeCell ref="D1009:L1009"/>
    <mergeCell ref="A1010:C1010"/>
    <mergeCell ref="D1010:L1010"/>
    <mergeCell ref="A1011:C1011"/>
    <mergeCell ref="D1011:L1011"/>
    <mergeCell ref="B1003:D1003"/>
    <mergeCell ref="B1004:D1004"/>
    <mergeCell ref="B1005:D1005"/>
    <mergeCell ref="A1007:C1007"/>
    <mergeCell ref="D1007:L1007"/>
    <mergeCell ref="A1008:C1008"/>
    <mergeCell ref="D1008:L1008"/>
    <mergeCell ref="C1000:D1000"/>
    <mergeCell ref="J1000:L1000"/>
    <mergeCell ref="B1001:D1001"/>
    <mergeCell ref="G1001:H1001"/>
    <mergeCell ref="K1001:L1001"/>
    <mergeCell ref="B1002:D1002"/>
    <mergeCell ref="B993:D993"/>
    <mergeCell ref="B994:D994"/>
    <mergeCell ref="B995:D995"/>
    <mergeCell ref="B996:D996"/>
    <mergeCell ref="B997:D997"/>
    <mergeCell ref="A999:L999"/>
    <mergeCell ref="B988:D988"/>
    <mergeCell ref="A990:L990"/>
    <mergeCell ref="C991:D991"/>
    <mergeCell ref="J991:L991"/>
    <mergeCell ref="B992:D992"/>
    <mergeCell ref="G992:H992"/>
    <mergeCell ref="K992:L992"/>
    <mergeCell ref="B984:D984"/>
    <mergeCell ref="G984:H984"/>
    <mergeCell ref="K984:L984"/>
    <mergeCell ref="B985:D985"/>
    <mergeCell ref="B986:D986"/>
    <mergeCell ref="B987:D987"/>
    <mergeCell ref="B978:D978"/>
    <mergeCell ref="B979:D979"/>
    <mergeCell ref="B980:D980"/>
    <mergeCell ref="A982:L982"/>
    <mergeCell ref="C983:D983"/>
    <mergeCell ref="J983:L983"/>
    <mergeCell ref="B972:D972"/>
    <mergeCell ref="B973:D973"/>
    <mergeCell ref="B974:D974"/>
    <mergeCell ref="B975:D975"/>
    <mergeCell ref="B976:D976"/>
    <mergeCell ref="B977:D977"/>
    <mergeCell ref="B966:D966"/>
    <mergeCell ref="B967:D967"/>
    <mergeCell ref="B968:D968"/>
    <mergeCell ref="B969:D969"/>
    <mergeCell ref="B970:D970"/>
    <mergeCell ref="B971:D971"/>
    <mergeCell ref="B961:D961"/>
    <mergeCell ref="A963:L963"/>
    <mergeCell ref="C964:D964"/>
    <mergeCell ref="J964:L964"/>
    <mergeCell ref="B965:D965"/>
    <mergeCell ref="G965:H965"/>
    <mergeCell ref="K965:L965"/>
    <mergeCell ref="B955:D955"/>
    <mergeCell ref="B956:D956"/>
    <mergeCell ref="B957:D957"/>
    <mergeCell ref="B958:D958"/>
    <mergeCell ref="B959:D959"/>
    <mergeCell ref="B960:D960"/>
    <mergeCell ref="C952:D952"/>
    <mergeCell ref="J952:L952"/>
    <mergeCell ref="B953:D953"/>
    <mergeCell ref="G953:H953"/>
    <mergeCell ref="K953:L953"/>
    <mergeCell ref="B954:D954"/>
    <mergeCell ref="B945:D945"/>
    <mergeCell ref="B946:D946"/>
    <mergeCell ref="B947:D947"/>
    <mergeCell ref="B948:D948"/>
    <mergeCell ref="B949:D949"/>
    <mergeCell ref="A951:L951"/>
    <mergeCell ref="B939:D939"/>
    <mergeCell ref="B940:D940"/>
    <mergeCell ref="B941:D941"/>
    <mergeCell ref="B942:D942"/>
    <mergeCell ref="B943:D943"/>
    <mergeCell ref="B944:D944"/>
    <mergeCell ref="C936:D936"/>
    <mergeCell ref="J936:L936"/>
    <mergeCell ref="B937:D937"/>
    <mergeCell ref="G937:H937"/>
    <mergeCell ref="K937:L937"/>
    <mergeCell ref="B938:D938"/>
    <mergeCell ref="B929:D929"/>
    <mergeCell ref="B930:D930"/>
    <mergeCell ref="B931:D931"/>
    <mergeCell ref="B932:D932"/>
    <mergeCell ref="B933:D933"/>
    <mergeCell ref="A935:L935"/>
    <mergeCell ref="B923:D923"/>
    <mergeCell ref="B924:D924"/>
    <mergeCell ref="A926:L926"/>
    <mergeCell ref="C927:D927"/>
    <mergeCell ref="J927:L927"/>
    <mergeCell ref="B928:D928"/>
    <mergeCell ref="G928:H928"/>
    <mergeCell ref="K928:L928"/>
    <mergeCell ref="B917:D917"/>
    <mergeCell ref="B918:D918"/>
    <mergeCell ref="B919:D919"/>
    <mergeCell ref="B920:D920"/>
    <mergeCell ref="B921:D921"/>
    <mergeCell ref="B922:D922"/>
    <mergeCell ref="A914:L914"/>
    <mergeCell ref="C915:D915"/>
    <mergeCell ref="J915:L915"/>
    <mergeCell ref="B916:D916"/>
    <mergeCell ref="G916:H916"/>
    <mergeCell ref="K916:L916"/>
    <mergeCell ref="B907:D907"/>
    <mergeCell ref="B908:D908"/>
    <mergeCell ref="B909:D909"/>
    <mergeCell ref="B910:D910"/>
    <mergeCell ref="B911:D911"/>
    <mergeCell ref="B912:D912"/>
    <mergeCell ref="B903:D903"/>
    <mergeCell ref="G903:H903"/>
    <mergeCell ref="K903:L903"/>
    <mergeCell ref="B904:D904"/>
    <mergeCell ref="B905:D905"/>
    <mergeCell ref="B906:D906"/>
    <mergeCell ref="B897:D897"/>
    <mergeCell ref="B898:D898"/>
    <mergeCell ref="B899:D899"/>
    <mergeCell ref="A901:L901"/>
    <mergeCell ref="C902:D902"/>
    <mergeCell ref="J902:L902"/>
    <mergeCell ref="B891:D891"/>
    <mergeCell ref="B892:D892"/>
    <mergeCell ref="B893:D893"/>
    <mergeCell ref="B894:D894"/>
    <mergeCell ref="B895:D895"/>
    <mergeCell ref="B896:D896"/>
    <mergeCell ref="A888:L888"/>
    <mergeCell ref="C889:D889"/>
    <mergeCell ref="J889:L889"/>
    <mergeCell ref="B890:D890"/>
    <mergeCell ref="G890:H890"/>
    <mergeCell ref="K890:L890"/>
    <mergeCell ref="N881:S881"/>
    <mergeCell ref="B882:D882"/>
    <mergeCell ref="B883:D883"/>
    <mergeCell ref="B884:D884"/>
    <mergeCell ref="B885:D885"/>
    <mergeCell ref="B886:D886"/>
    <mergeCell ref="C879:D879"/>
    <mergeCell ref="J879:L879"/>
    <mergeCell ref="B880:D880"/>
    <mergeCell ref="G880:H880"/>
    <mergeCell ref="K880:L880"/>
    <mergeCell ref="B881:D881"/>
    <mergeCell ref="B871:D871"/>
    <mergeCell ref="B872:D872"/>
    <mergeCell ref="B873:D873"/>
    <mergeCell ref="B874:D874"/>
    <mergeCell ref="B875:D875"/>
    <mergeCell ref="A878:L878"/>
    <mergeCell ref="B867:D867"/>
    <mergeCell ref="B868:D868"/>
    <mergeCell ref="B869:D869"/>
    <mergeCell ref="B870:D870"/>
    <mergeCell ref="A864:L864"/>
    <mergeCell ref="C865:D865"/>
    <mergeCell ref="J865:L865"/>
    <mergeCell ref="B866:D866"/>
    <mergeCell ref="G866:H866"/>
    <mergeCell ref="K866:L866"/>
    <mergeCell ref="B856:D856"/>
    <mergeCell ref="B857:D857"/>
    <mergeCell ref="B858:D858"/>
    <mergeCell ref="B859:D859"/>
    <mergeCell ref="F860:F861"/>
    <mergeCell ref="G860:J860"/>
    <mergeCell ref="G861:J861"/>
    <mergeCell ref="B851:D851"/>
    <mergeCell ref="I851:J851"/>
    <mergeCell ref="A853:L853"/>
    <mergeCell ref="C854:D854"/>
    <mergeCell ref="J854:L854"/>
    <mergeCell ref="B855:D855"/>
    <mergeCell ref="G855:H855"/>
    <mergeCell ref="K855:L855"/>
    <mergeCell ref="C849:D849"/>
    <mergeCell ref="J849:L849"/>
    <mergeCell ref="B850:D850"/>
    <mergeCell ref="G850:H850"/>
    <mergeCell ref="I850:J850"/>
    <mergeCell ref="K850:L850"/>
    <mergeCell ref="B845:D845"/>
    <mergeCell ref="I845:J845"/>
    <mergeCell ref="B846:D846"/>
    <mergeCell ref="I846:J846"/>
    <mergeCell ref="A848:L848"/>
    <mergeCell ref="B840:D840"/>
    <mergeCell ref="I840:J840"/>
    <mergeCell ref="A842:L842"/>
    <mergeCell ref="C843:D843"/>
    <mergeCell ref="J843:L843"/>
    <mergeCell ref="B844:D844"/>
    <mergeCell ref="G844:H844"/>
    <mergeCell ref="I844:J844"/>
    <mergeCell ref="K844:L844"/>
    <mergeCell ref="C838:D838"/>
    <mergeCell ref="J838:L838"/>
    <mergeCell ref="B839:D839"/>
    <mergeCell ref="G839:H839"/>
    <mergeCell ref="I839:J839"/>
    <mergeCell ref="K839:L839"/>
    <mergeCell ref="B834:D834"/>
    <mergeCell ref="I834:J834"/>
    <mergeCell ref="B835:D835"/>
    <mergeCell ref="I835:J835"/>
    <mergeCell ref="A837:L837"/>
    <mergeCell ref="B831:D831"/>
    <mergeCell ref="I831:J831"/>
    <mergeCell ref="B832:D832"/>
    <mergeCell ref="I832:J832"/>
    <mergeCell ref="B833:D833"/>
    <mergeCell ref="I833:J833"/>
    <mergeCell ref="A828:L828"/>
    <mergeCell ref="C829:D829"/>
    <mergeCell ref="J829:L829"/>
    <mergeCell ref="B830:D830"/>
    <mergeCell ref="G830:H830"/>
    <mergeCell ref="I830:J830"/>
    <mergeCell ref="K830:L830"/>
    <mergeCell ref="B820:D820"/>
    <mergeCell ref="B821:D821"/>
    <mergeCell ref="B822:D822"/>
    <mergeCell ref="B823:D823"/>
    <mergeCell ref="F824:F825"/>
    <mergeCell ref="G824:J824"/>
    <mergeCell ref="G825:J825"/>
    <mergeCell ref="B816:D816"/>
    <mergeCell ref="E816:H816"/>
    <mergeCell ref="A817:L817"/>
    <mergeCell ref="J818:L818"/>
    <mergeCell ref="B819:D819"/>
    <mergeCell ref="G819:H819"/>
    <mergeCell ref="K819:L819"/>
    <mergeCell ref="C813:D813"/>
    <mergeCell ref="J813:L813"/>
    <mergeCell ref="B814:D814"/>
    <mergeCell ref="I814:J814"/>
    <mergeCell ref="K814:L814"/>
    <mergeCell ref="B815:D815"/>
    <mergeCell ref="I815:J815"/>
    <mergeCell ref="B809:D809"/>
    <mergeCell ref="I809:J809"/>
    <mergeCell ref="B810:D810"/>
    <mergeCell ref="I810:J810"/>
    <mergeCell ref="B811:D811"/>
    <mergeCell ref="A812:L812"/>
    <mergeCell ref="C807:D807"/>
    <mergeCell ref="J807:L807"/>
    <mergeCell ref="B808:D808"/>
    <mergeCell ref="I808:J808"/>
    <mergeCell ref="K808:L808"/>
    <mergeCell ref="B804:D804"/>
    <mergeCell ref="I804:J804"/>
    <mergeCell ref="B805:D805"/>
    <mergeCell ref="E805:H805"/>
    <mergeCell ref="A806:L806"/>
    <mergeCell ref="A801:L801"/>
    <mergeCell ref="C802:D802"/>
    <mergeCell ref="J802:L802"/>
    <mergeCell ref="B803:D803"/>
    <mergeCell ref="I803:J803"/>
    <mergeCell ref="K803:L803"/>
    <mergeCell ref="B798:D798"/>
    <mergeCell ref="I798:J798"/>
    <mergeCell ref="K798:L798"/>
    <mergeCell ref="B799:D799"/>
    <mergeCell ref="I799:J799"/>
    <mergeCell ref="B800:D800"/>
    <mergeCell ref="E800:H800"/>
    <mergeCell ref="B795:D795"/>
    <mergeCell ref="E795:H795"/>
    <mergeCell ref="A796:L796"/>
    <mergeCell ref="C797:D797"/>
    <mergeCell ref="J797:L797"/>
    <mergeCell ref="B793:D793"/>
    <mergeCell ref="I793:J793"/>
    <mergeCell ref="K793:L793"/>
    <mergeCell ref="B794:D794"/>
    <mergeCell ref="I794:J794"/>
    <mergeCell ref="B789:D789"/>
    <mergeCell ref="I789:J789"/>
    <mergeCell ref="B790:D790"/>
    <mergeCell ref="E790:H790"/>
    <mergeCell ref="A791:L791"/>
    <mergeCell ref="C792:D792"/>
    <mergeCell ref="J792:L792"/>
    <mergeCell ref="B785:D785"/>
    <mergeCell ref="E785:H785"/>
    <mergeCell ref="A786:L786"/>
    <mergeCell ref="C787:D787"/>
    <mergeCell ref="J787:L787"/>
    <mergeCell ref="B788:D788"/>
    <mergeCell ref="I788:J788"/>
    <mergeCell ref="K788:L788"/>
    <mergeCell ref="B783:D783"/>
    <mergeCell ref="G783:H783"/>
    <mergeCell ref="I783:J783"/>
    <mergeCell ref="K783:L783"/>
    <mergeCell ref="B784:D784"/>
    <mergeCell ref="I784:J784"/>
    <mergeCell ref="B779:D779"/>
    <mergeCell ref="I779:J779"/>
    <mergeCell ref="B780:D780"/>
    <mergeCell ref="E780:H780"/>
    <mergeCell ref="A781:L781"/>
    <mergeCell ref="C782:D782"/>
    <mergeCell ref="J782:L782"/>
    <mergeCell ref="A776:L776"/>
    <mergeCell ref="C777:D777"/>
    <mergeCell ref="J777:L777"/>
    <mergeCell ref="B778:D778"/>
    <mergeCell ref="I778:J778"/>
    <mergeCell ref="K778:L778"/>
    <mergeCell ref="B773:D773"/>
    <mergeCell ref="G773:H773"/>
    <mergeCell ref="I773:J773"/>
    <mergeCell ref="K773:L773"/>
    <mergeCell ref="B774:D774"/>
    <mergeCell ref="I774:J774"/>
    <mergeCell ref="B769:D769"/>
    <mergeCell ref="I769:J769"/>
    <mergeCell ref="B770:D770"/>
    <mergeCell ref="E770:H770"/>
    <mergeCell ref="A771:L771"/>
    <mergeCell ref="C772:D772"/>
    <mergeCell ref="J772:L772"/>
    <mergeCell ref="A766:L766"/>
    <mergeCell ref="C767:D767"/>
    <mergeCell ref="J767:L767"/>
    <mergeCell ref="B768:D768"/>
    <mergeCell ref="I768:J768"/>
    <mergeCell ref="K768:L768"/>
    <mergeCell ref="B763:D763"/>
    <mergeCell ref="I763:J763"/>
    <mergeCell ref="K763:L763"/>
    <mergeCell ref="B764:D764"/>
    <mergeCell ref="I764:J764"/>
    <mergeCell ref="B765:D765"/>
    <mergeCell ref="E765:H765"/>
    <mergeCell ref="G759:J759"/>
    <mergeCell ref="A761:L761"/>
    <mergeCell ref="C762:D762"/>
    <mergeCell ref="J762:L762"/>
    <mergeCell ref="B754:D754"/>
    <mergeCell ref="G754:H754"/>
    <mergeCell ref="K754:L754"/>
    <mergeCell ref="B755:D755"/>
    <mergeCell ref="B756:D756"/>
    <mergeCell ref="F758:F759"/>
    <mergeCell ref="G758:J758"/>
    <mergeCell ref="B736:D736"/>
    <mergeCell ref="F737:F738"/>
    <mergeCell ref="G737:J737"/>
    <mergeCell ref="G738:J738"/>
    <mergeCell ref="A741:L741"/>
    <mergeCell ref="C753:D753"/>
    <mergeCell ref="J753:L753"/>
    <mergeCell ref="F748:F749"/>
    <mergeCell ref="G748:J748"/>
    <mergeCell ref="G749:J749"/>
    <mergeCell ref="B732:D732"/>
    <mergeCell ref="G732:H732"/>
    <mergeCell ref="K732:L732"/>
    <mergeCell ref="B733:D733"/>
    <mergeCell ref="B734:D734"/>
    <mergeCell ref="B735:D735"/>
    <mergeCell ref="B725:D725"/>
    <mergeCell ref="F726:F727"/>
    <mergeCell ref="G726:J726"/>
    <mergeCell ref="G727:J727"/>
    <mergeCell ref="A730:L730"/>
    <mergeCell ref="C731:D731"/>
    <mergeCell ref="J731:L731"/>
    <mergeCell ref="A722:L722"/>
    <mergeCell ref="C723:D723"/>
    <mergeCell ref="J723:L723"/>
    <mergeCell ref="B724:D724"/>
    <mergeCell ref="G724:H724"/>
    <mergeCell ref="K724:L724"/>
    <mergeCell ref="B715:D715"/>
    <mergeCell ref="G715:H715"/>
    <mergeCell ref="K715:L715"/>
    <mergeCell ref="B716:D716"/>
    <mergeCell ref="B717:D717"/>
    <mergeCell ref="F718:F719"/>
    <mergeCell ref="G718:J718"/>
    <mergeCell ref="G719:J719"/>
    <mergeCell ref="B708:D708"/>
    <mergeCell ref="F709:F710"/>
    <mergeCell ref="G709:J709"/>
    <mergeCell ref="G710:J710"/>
    <mergeCell ref="A713:L713"/>
    <mergeCell ref="C714:D714"/>
    <mergeCell ref="J714:L714"/>
    <mergeCell ref="B704:H704"/>
    <mergeCell ref="A705:L705"/>
    <mergeCell ref="C706:D706"/>
    <mergeCell ref="J706:L706"/>
    <mergeCell ref="B707:D707"/>
    <mergeCell ref="G707:H707"/>
    <mergeCell ref="K707:L707"/>
    <mergeCell ref="B699:D699"/>
    <mergeCell ref="I699:J699"/>
    <mergeCell ref="B700:D700"/>
    <mergeCell ref="I700:J700"/>
    <mergeCell ref="I701:J701"/>
    <mergeCell ref="I702:J702"/>
    <mergeCell ref="C697:D697"/>
    <mergeCell ref="J697:L697"/>
    <mergeCell ref="B698:D698"/>
    <mergeCell ref="G698:H698"/>
    <mergeCell ref="I698:J698"/>
    <mergeCell ref="K698:L698"/>
    <mergeCell ref="B691:D691"/>
    <mergeCell ref="B692:D692"/>
    <mergeCell ref="F692:F693"/>
    <mergeCell ref="G692:J692"/>
    <mergeCell ref="G693:J693"/>
    <mergeCell ref="A696:L696"/>
    <mergeCell ref="A688:L688"/>
    <mergeCell ref="C689:D689"/>
    <mergeCell ref="J689:L689"/>
    <mergeCell ref="B690:D690"/>
    <mergeCell ref="G690:H690"/>
    <mergeCell ref="K690:L690"/>
    <mergeCell ref="B682:D682"/>
    <mergeCell ref="I682:J682"/>
    <mergeCell ref="B683:D683"/>
    <mergeCell ref="E683:H683"/>
    <mergeCell ref="A684:L687"/>
    <mergeCell ref="A675:L678"/>
    <mergeCell ref="A679:L679"/>
    <mergeCell ref="C680:D680"/>
    <mergeCell ref="G680:H680"/>
    <mergeCell ref="J680:L680"/>
    <mergeCell ref="B681:D681"/>
    <mergeCell ref="I681:J681"/>
    <mergeCell ref="K681:L681"/>
    <mergeCell ref="B672:D672"/>
    <mergeCell ref="I672:J672"/>
    <mergeCell ref="K672:L672"/>
    <mergeCell ref="B673:D673"/>
    <mergeCell ref="I673:J673"/>
    <mergeCell ref="B674:D674"/>
    <mergeCell ref="E674:H674"/>
    <mergeCell ref="G667:I667"/>
    <mergeCell ref="A668:L669"/>
    <mergeCell ref="A670:L670"/>
    <mergeCell ref="C671:D671"/>
    <mergeCell ref="G671:H671"/>
    <mergeCell ref="J671:L671"/>
    <mergeCell ref="B664:D664"/>
    <mergeCell ref="I664:J664"/>
    <mergeCell ref="B665:D665"/>
    <mergeCell ref="I665:J665"/>
    <mergeCell ref="B666:D666"/>
    <mergeCell ref="I666:J666"/>
    <mergeCell ref="C662:D662"/>
    <mergeCell ref="J662:L662"/>
    <mergeCell ref="B663:D663"/>
    <mergeCell ref="G663:H663"/>
    <mergeCell ref="I663:J663"/>
    <mergeCell ref="K663:L663"/>
    <mergeCell ref="B657:D657"/>
    <mergeCell ref="I657:J657"/>
    <mergeCell ref="B658:D658"/>
    <mergeCell ref="I658:J658"/>
    <mergeCell ref="I659:J659"/>
    <mergeCell ref="A661:L661"/>
    <mergeCell ref="B653:D653"/>
    <mergeCell ref="A654:L654"/>
    <mergeCell ref="C655:D655"/>
    <mergeCell ref="J655:L655"/>
    <mergeCell ref="B656:D656"/>
    <mergeCell ref="G656:H656"/>
    <mergeCell ref="I656:J656"/>
    <mergeCell ref="K656:L656"/>
    <mergeCell ref="B651:D651"/>
    <mergeCell ref="I651:J651"/>
    <mergeCell ref="K651:L651"/>
    <mergeCell ref="B652:D652"/>
    <mergeCell ref="I652:J652"/>
    <mergeCell ref="A647:C647"/>
    <mergeCell ref="D647:L647"/>
    <mergeCell ref="A648:C648"/>
    <mergeCell ref="D648:L648"/>
    <mergeCell ref="A649:L649"/>
    <mergeCell ref="C650:D650"/>
    <mergeCell ref="J650:L650"/>
    <mergeCell ref="A645:C645"/>
    <mergeCell ref="D645:L645"/>
    <mergeCell ref="A646:C646"/>
    <mergeCell ref="D646:L646"/>
    <mergeCell ref="A643:C643"/>
    <mergeCell ref="D643:L643"/>
    <mergeCell ref="A644:C644"/>
    <mergeCell ref="D644:L644"/>
    <mergeCell ref="A639:L639"/>
    <mergeCell ref="A640:C640"/>
    <mergeCell ref="D640:L640"/>
    <mergeCell ref="A641:C641"/>
    <mergeCell ref="D641:L641"/>
    <mergeCell ref="A642:C642"/>
    <mergeCell ref="D642:L642"/>
    <mergeCell ref="B629:D629"/>
    <mergeCell ref="B630:D630"/>
    <mergeCell ref="B631:D631"/>
    <mergeCell ref="B633:D633"/>
    <mergeCell ref="F635:F636"/>
    <mergeCell ref="G635:J635"/>
    <mergeCell ref="G636:J636"/>
    <mergeCell ref="B624:D624"/>
    <mergeCell ref="B625:H625"/>
    <mergeCell ref="A626:L626"/>
    <mergeCell ref="C627:D627"/>
    <mergeCell ref="J627:L627"/>
    <mergeCell ref="B628:D628"/>
    <mergeCell ref="G628:H628"/>
    <mergeCell ref="K628:L628"/>
    <mergeCell ref="B620:D620"/>
    <mergeCell ref="I620:J620"/>
    <mergeCell ref="B621:D621"/>
    <mergeCell ref="I621:J621"/>
    <mergeCell ref="B622:D622"/>
    <mergeCell ref="I622:J622"/>
    <mergeCell ref="A617:L617"/>
    <mergeCell ref="C618:D618"/>
    <mergeCell ref="J618:L618"/>
    <mergeCell ref="B619:D619"/>
    <mergeCell ref="G619:H619"/>
    <mergeCell ref="I619:J619"/>
    <mergeCell ref="K619:L619"/>
    <mergeCell ref="B610:D610"/>
    <mergeCell ref="G612:H612"/>
    <mergeCell ref="B613:D613"/>
    <mergeCell ref="F613:F614"/>
    <mergeCell ref="G613:J613"/>
    <mergeCell ref="G614:J614"/>
    <mergeCell ref="B606:D606"/>
    <mergeCell ref="G606:H606"/>
    <mergeCell ref="K606:L606"/>
    <mergeCell ref="B607:D607"/>
    <mergeCell ref="B608:D608"/>
    <mergeCell ref="B609:D609"/>
    <mergeCell ref="B600:D600"/>
    <mergeCell ref="B601:D601"/>
    <mergeCell ref="B602:D602"/>
    <mergeCell ref="B603:H603"/>
    <mergeCell ref="A604:L604"/>
    <mergeCell ref="C605:D605"/>
    <mergeCell ref="J605:L605"/>
    <mergeCell ref="G593:J593"/>
    <mergeCell ref="G594:J594"/>
    <mergeCell ref="A597:L597"/>
    <mergeCell ref="C598:D598"/>
    <mergeCell ref="J598:L598"/>
    <mergeCell ref="B599:D599"/>
    <mergeCell ref="G599:H599"/>
    <mergeCell ref="K599:L599"/>
    <mergeCell ref="B588:D588"/>
    <mergeCell ref="B589:D589"/>
    <mergeCell ref="B590:D590"/>
    <mergeCell ref="B591:D591"/>
    <mergeCell ref="B592:D592"/>
    <mergeCell ref="F593:F594"/>
    <mergeCell ref="J585:L585"/>
    <mergeCell ref="B586:D586"/>
    <mergeCell ref="G586:H586"/>
    <mergeCell ref="K586:L586"/>
    <mergeCell ref="B587:D587"/>
    <mergeCell ref="B577:D577"/>
    <mergeCell ref="I577:J577"/>
    <mergeCell ref="G579:I579"/>
    <mergeCell ref="A580:L583"/>
    <mergeCell ref="A584:L584"/>
    <mergeCell ref="B574:D574"/>
    <mergeCell ref="G574:H574"/>
    <mergeCell ref="I574:J574"/>
    <mergeCell ref="B575:D575"/>
    <mergeCell ref="I575:J575"/>
    <mergeCell ref="B576:D576"/>
    <mergeCell ref="I576:J576"/>
    <mergeCell ref="B569:D569"/>
    <mergeCell ref="G569:H569"/>
    <mergeCell ref="B570:I570"/>
    <mergeCell ref="A571:L571"/>
    <mergeCell ref="A572:L572"/>
    <mergeCell ref="C573:D573"/>
    <mergeCell ref="J573:L573"/>
    <mergeCell ref="B563:D563"/>
    <mergeCell ref="A564:D565"/>
    <mergeCell ref="A566:L566"/>
    <mergeCell ref="C567:D567"/>
    <mergeCell ref="J567:L567"/>
    <mergeCell ref="B568:D568"/>
    <mergeCell ref="G568:H568"/>
    <mergeCell ref="K568:L568"/>
    <mergeCell ref="A558:D559"/>
    <mergeCell ref="A560:L560"/>
    <mergeCell ref="C561:D561"/>
    <mergeCell ref="J561:L561"/>
    <mergeCell ref="B562:D562"/>
    <mergeCell ref="A553:L553"/>
    <mergeCell ref="C554:D554"/>
    <mergeCell ref="J554:L554"/>
    <mergeCell ref="B555:D555"/>
    <mergeCell ref="B556:D556"/>
    <mergeCell ref="B557:D557"/>
    <mergeCell ref="B550:D550"/>
    <mergeCell ref="I550:J550"/>
    <mergeCell ref="K550:L550"/>
    <mergeCell ref="B551:D551"/>
    <mergeCell ref="I551:J551"/>
    <mergeCell ref="B552:D552"/>
    <mergeCell ref="B546:D546"/>
    <mergeCell ref="I546:J546"/>
    <mergeCell ref="B547:D547"/>
    <mergeCell ref="A548:L548"/>
    <mergeCell ref="C549:D549"/>
    <mergeCell ref="J549:L549"/>
    <mergeCell ref="B543:D543"/>
    <mergeCell ref="I543:J543"/>
    <mergeCell ref="B544:D544"/>
    <mergeCell ref="I544:J544"/>
    <mergeCell ref="B545:D545"/>
    <mergeCell ref="I545:J545"/>
    <mergeCell ref="I539:J539"/>
    <mergeCell ref="B540:D540"/>
    <mergeCell ref="I540:J540"/>
    <mergeCell ref="B541:D541"/>
    <mergeCell ref="I541:J541"/>
    <mergeCell ref="B542:D542"/>
    <mergeCell ref="I542:J542"/>
    <mergeCell ref="A535:C535"/>
    <mergeCell ref="D535:L535"/>
    <mergeCell ref="A536:L536"/>
    <mergeCell ref="C537:D537"/>
    <mergeCell ref="J537:L537"/>
    <mergeCell ref="B538:D538"/>
    <mergeCell ref="I538:J538"/>
    <mergeCell ref="K538:L538"/>
    <mergeCell ref="B539:D539"/>
    <mergeCell ref="A532:C532"/>
    <mergeCell ref="D532:L532"/>
    <mergeCell ref="A533:C533"/>
    <mergeCell ref="D533:L533"/>
    <mergeCell ref="A534:C534"/>
    <mergeCell ref="D534:L534"/>
    <mergeCell ref="A529:C529"/>
    <mergeCell ref="D529:L529"/>
    <mergeCell ref="A530:C530"/>
    <mergeCell ref="D530:L530"/>
    <mergeCell ref="A531:C531"/>
    <mergeCell ref="D531:L531"/>
    <mergeCell ref="B522:D522"/>
    <mergeCell ref="F523:F524"/>
    <mergeCell ref="G523:J523"/>
    <mergeCell ref="G524:J524"/>
    <mergeCell ref="A527:L527"/>
    <mergeCell ref="A528:C528"/>
    <mergeCell ref="D528:L528"/>
    <mergeCell ref="B518:D518"/>
    <mergeCell ref="G518:H518"/>
    <mergeCell ref="K518:L518"/>
    <mergeCell ref="B519:D519"/>
    <mergeCell ref="B520:D520"/>
    <mergeCell ref="B521:D521"/>
    <mergeCell ref="B514:D514"/>
    <mergeCell ref="I514:J514"/>
    <mergeCell ref="B515:D515"/>
    <mergeCell ref="A516:L516"/>
    <mergeCell ref="C517:D517"/>
    <mergeCell ref="J517:L517"/>
    <mergeCell ref="A511:L511"/>
    <mergeCell ref="C512:D512"/>
    <mergeCell ref="J512:L512"/>
    <mergeCell ref="B513:D513"/>
    <mergeCell ref="I513:J513"/>
    <mergeCell ref="K513:L513"/>
    <mergeCell ref="B508:D508"/>
    <mergeCell ref="I508:J508"/>
    <mergeCell ref="K508:L508"/>
    <mergeCell ref="B509:D509"/>
    <mergeCell ref="I509:J509"/>
    <mergeCell ref="B510:D510"/>
    <mergeCell ref="E510:H510"/>
    <mergeCell ref="A504:C504"/>
    <mergeCell ref="D504:L504"/>
    <mergeCell ref="A505:C505"/>
    <mergeCell ref="D505:L505"/>
    <mergeCell ref="A506:L506"/>
    <mergeCell ref="C507:D507"/>
    <mergeCell ref="J507:L507"/>
    <mergeCell ref="A501:C501"/>
    <mergeCell ref="D501:L501"/>
    <mergeCell ref="A502:C502"/>
    <mergeCell ref="D502:L502"/>
    <mergeCell ref="A503:C503"/>
    <mergeCell ref="D503:L503"/>
    <mergeCell ref="A498:C498"/>
    <mergeCell ref="D498:L498"/>
    <mergeCell ref="A499:C499"/>
    <mergeCell ref="D499:L499"/>
    <mergeCell ref="A500:C500"/>
    <mergeCell ref="D500:L500"/>
    <mergeCell ref="F492:F493"/>
    <mergeCell ref="G492:J492"/>
    <mergeCell ref="G493:J493"/>
    <mergeCell ref="A496:L496"/>
    <mergeCell ref="A497:C497"/>
    <mergeCell ref="D497:L497"/>
    <mergeCell ref="B483:D483"/>
    <mergeCell ref="B484:D484"/>
    <mergeCell ref="B486:D486"/>
    <mergeCell ref="B488:D488"/>
    <mergeCell ref="B489:D489"/>
    <mergeCell ref="B490:D490"/>
    <mergeCell ref="A479:C479"/>
    <mergeCell ref="D479:L479"/>
    <mergeCell ref="A480:L480"/>
    <mergeCell ref="C481:D481"/>
    <mergeCell ref="J481:L481"/>
    <mergeCell ref="G482:H482"/>
    <mergeCell ref="K482:L482"/>
    <mergeCell ref="A476:C476"/>
    <mergeCell ref="D476:L476"/>
    <mergeCell ref="A477:C477"/>
    <mergeCell ref="D477:L477"/>
    <mergeCell ref="A478:C478"/>
    <mergeCell ref="D478:L478"/>
    <mergeCell ref="A473:C473"/>
    <mergeCell ref="D473:L473"/>
    <mergeCell ref="A474:C474"/>
    <mergeCell ref="D474:L474"/>
    <mergeCell ref="A475:C475"/>
    <mergeCell ref="D475:L475"/>
    <mergeCell ref="F467:F468"/>
    <mergeCell ref="G467:J467"/>
    <mergeCell ref="G468:J468"/>
    <mergeCell ref="A471:L471"/>
    <mergeCell ref="A472:C472"/>
    <mergeCell ref="D472:L472"/>
    <mergeCell ref="B463:D463"/>
    <mergeCell ref="G463:H463"/>
    <mergeCell ref="K463:L463"/>
    <mergeCell ref="B464:D464"/>
    <mergeCell ref="B465:D465"/>
    <mergeCell ref="B466:D466"/>
    <mergeCell ref="F457:F458"/>
    <mergeCell ref="G457:J457"/>
    <mergeCell ref="G458:J458"/>
    <mergeCell ref="A461:L461"/>
    <mergeCell ref="C462:D462"/>
    <mergeCell ref="J462:L462"/>
    <mergeCell ref="B453:D453"/>
    <mergeCell ref="G453:H453"/>
    <mergeCell ref="K453:L453"/>
    <mergeCell ref="B454:D454"/>
    <mergeCell ref="B455:D455"/>
    <mergeCell ref="B456:D456"/>
    <mergeCell ref="B448:D448"/>
    <mergeCell ref="I448:J448"/>
    <mergeCell ref="A450:L450"/>
    <mergeCell ref="A451:L451"/>
    <mergeCell ref="J452:L452"/>
    <mergeCell ref="A445:L445"/>
    <mergeCell ref="C446:D446"/>
    <mergeCell ref="J446:L446"/>
    <mergeCell ref="B447:D447"/>
    <mergeCell ref="I447:J447"/>
    <mergeCell ref="K447:L447"/>
    <mergeCell ref="B439:D439"/>
    <mergeCell ref="F441:F442"/>
    <mergeCell ref="G441:J441"/>
    <mergeCell ref="B442:D442"/>
    <mergeCell ref="G442:J442"/>
    <mergeCell ref="C436:D436"/>
    <mergeCell ref="J436:L436"/>
    <mergeCell ref="B437:D437"/>
    <mergeCell ref="G437:H437"/>
    <mergeCell ref="K437:L437"/>
    <mergeCell ref="B438:D438"/>
    <mergeCell ref="B432:D432"/>
    <mergeCell ref="I432:J432"/>
    <mergeCell ref="I433:J433"/>
    <mergeCell ref="B434:D434"/>
    <mergeCell ref="A435:L435"/>
    <mergeCell ref="B430:D430"/>
    <mergeCell ref="I430:J430"/>
    <mergeCell ref="K430:L430"/>
    <mergeCell ref="B431:D431"/>
    <mergeCell ref="I431:J431"/>
    <mergeCell ref="B426:D426"/>
    <mergeCell ref="I426:J426"/>
    <mergeCell ref="B427:D427"/>
    <mergeCell ref="E427:H427"/>
    <mergeCell ref="A428:L428"/>
    <mergeCell ref="C429:D429"/>
    <mergeCell ref="J429:L429"/>
    <mergeCell ref="A423:L423"/>
    <mergeCell ref="C424:D424"/>
    <mergeCell ref="J424:L424"/>
    <mergeCell ref="B425:D425"/>
    <mergeCell ref="I425:J425"/>
    <mergeCell ref="K425:L425"/>
    <mergeCell ref="B420:D420"/>
    <mergeCell ref="I420:J420"/>
    <mergeCell ref="K420:L420"/>
    <mergeCell ref="B421:D421"/>
    <mergeCell ref="I421:J421"/>
    <mergeCell ref="B422:D422"/>
    <mergeCell ref="E422:H422"/>
    <mergeCell ref="B416:D416"/>
    <mergeCell ref="I416:J416"/>
    <mergeCell ref="B417:D417"/>
    <mergeCell ref="E417:H417"/>
    <mergeCell ref="A418:L418"/>
    <mergeCell ref="C419:D419"/>
    <mergeCell ref="J419:L419"/>
    <mergeCell ref="C414:D414"/>
    <mergeCell ref="J414:L414"/>
    <mergeCell ref="B415:D415"/>
    <mergeCell ref="I415:J415"/>
    <mergeCell ref="K415:L415"/>
    <mergeCell ref="B411:D411"/>
    <mergeCell ref="I411:J411"/>
    <mergeCell ref="A412:D412"/>
    <mergeCell ref="E412:H412"/>
    <mergeCell ref="A413:L413"/>
    <mergeCell ref="B407:D407"/>
    <mergeCell ref="E407:H407"/>
    <mergeCell ref="A408:L408"/>
    <mergeCell ref="C409:D409"/>
    <mergeCell ref="J409:L409"/>
    <mergeCell ref="B410:D410"/>
    <mergeCell ref="I410:J410"/>
    <mergeCell ref="K410:L410"/>
    <mergeCell ref="C404:D404"/>
    <mergeCell ref="J404:L404"/>
    <mergeCell ref="B405:D405"/>
    <mergeCell ref="I405:J405"/>
    <mergeCell ref="K405:L405"/>
    <mergeCell ref="B406:D406"/>
    <mergeCell ref="I406:J406"/>
    <mergeCell ref="B401:D401"/>
    <mergeCell ref="I401:J401"/>
    <mergeCell ref="B402:D402"/>
    <mergeCell ref="E402:H402"/>
    <mergeCell ref="A403:L403"/>
    <mergeCell ref="A398:L398"/>
    <mergeCell ref="C399:D399"/>
    <mergeCell ref="J399:L399"/>
    <mergeCell ref="B400:D400"/>
    <mergeCell ref="I400:J400"/>
    <mergeCell ref="K400:L400"/>
    <mergeCell ref="B392:D392"/>
    <mergeCell ref="G392:H392"/>
    <mergeCell ref="K392:L392"/>
    <mergeCell ref="B393:D393"/>
    <mergeCell ref="F394:F395"/>
    <mergeCell ref="G394:J394"/>
    <mergeCell ref="G395:J395"/>
    <mergeCell ref="B388:D388"/>
    <mergeCell ref="I388:J388"/>
    <mergeCell ref="B389:D389"/>
    <mergeCell ref="E389:H389"/>
    <mergeCell ref="A390:L390"/>
    <mergeCell ref="C391:D391"/>
    <mergeCell ref="J391:L391"/>
    <mergeCell ref="A385:L385"/>
    <mergeCell ref="C386:D386"/>
    <mergeCell ref="J386:L386"/>
    <mergeCell ref="B387:D387"/>
    <mergeCell ref="I387:J387"/>
    <mergeCell ref="K387:L387"/>
    <mergeCell ref="B378:D378"/>
    <mergeCell ref="B379:D379"/>
    <mergeCell ref="B380:D380"/>
    <mergeCell ref="B381:D381"/>
    <mergeCell ref="B382:D382"/>
    <mergeCell ref="A383:D384"/>
    <mergeCell ref="A372:D373"/>
    <mergeCell ref="A374:L374"/>
    <mergeCell ref="C375:D375"/>
    <mergeCell ref="J375:L375"/>
    <mergeCell ref="B376:D376"/>
    <mergeCell ref="B377:D377"/>
    <mergeCell ref="A367:L367"/>
    <mergeCell ref="C368:D368"/>
    <mergeCell ref="J368:L368"/>
    <mergeCell ref="B369:D369"/>
    <mergeCell ref="B370:D370"/>
    <mergeCell ref="B371:D371"/>
    <mergeCell ref="A364:C364"/>
    <mergeCell ref="D364:L364"/>
    <mergeCell ref="A365:C365"/>
    <mergeCell ref="D365:L365"/>
    <mergeCell ref="A366:C366"/>
    <mergeCell ref="D366:L366"/>
    <mergeCell ref="A361:C361"/>
    <mergeCell ref="D361:L361"/>
    <mergeCell ref="A362:C362"/>
    <mergeCell ref="D362:L362"/>
    <mergeCell ref="A363:C363"/>
    <mergeCell ref="D363:L363"/>
    <mergeCell ref="A357:L357"/>
    <mergeCell ref="A358:C358"/>
    <mergeCell ref="D358:L358"/>
    <mergeCell ref="A359:C359"/>
    <mergeCell ref="D359:L359"/>
    <mergeCell ref="A360:C360"/>
    <mergeCell ref="D360:L360"/>
    <mergeCell ref="B351:D351"/>
    <mergeCell ref="B352:D352"/>
    <mergeCell ref="B353:D353"/>
    <mergeCell ref="I354:J354"/>
    <mergeCell ref="A355:F355"/>
    <mergeCell ref="I355:J355"/>
    <mergeCell ref="A347:L347"/>
    <mergeCell ref="C348:D348"/>
    <mergeCell ref="J348:L348"/>
    <mergeCell ref="C349:D349"/>
    <mergeCell ref="K349:L349"/>
    <mergeCell ref="B350:D350"/>
    <mergeCell ref="B341:D341"/>
    <mergeCell ref="G341:H341"/>
    <mergeCell ref="K341:L341"/>
    <mergeCell ref="B342:D342"/>
    <mergeCell ref="B343:D343"/>
    <mergeCell ref="F343:F344"/>
    <mergeCell ref="G343:J343"/>
    <mergeCell ref="G344:J344"/>
    <mergeCell ref="I341:J341"/>
    <mergeCell ref="I342:J342"/>
    <mergeCell ref="B337:D337"/>
    <mergeCell ref="I337:J337"/>
    <mergeCell ref="B338:D338"/>
    <mergeCell ref="E338:H338"/>
    <mergeCell ref="A339:L339"/>
    <mergeCell ref="J340:L340"/>
    <mergeCell ref="A333:C333"/>
    <mergeCell ref="D333:L333"/>
    <mergeCell ref="A334:L334"/>
    <mergeCell ref="C335:D335"/>
    <mergeCell ref="J335:L335"/>
    <mergeCell ref="B336:D336"/>
    <mergeCell ref="I336:J336"/>
    <mergeCell ref="K336:L336"/>
    <mergeCell ref="A330:C330"/>
    <mergeCell ref="D330:L330"/>
    <mergeCell ref="A331:C331"/>
    <mergeCell ref="D331:L331"/>
    <mergeCell ref="A332:C332"/>
    <mergeCell ref="D332:L332"/>
    <mergeCell ref="A327:C327"/>
    <mergeCell ref="D327:L327"/>
    <mergeCell ref="A328:C328"/>
    <mergeCell ref="D328:L328"/>
    <mergeCell ref="A329:C329"/>
    <mergeCell ref="D329:L329"/>
    <mergeCell ref="B322:D322"/>
    <mergeCell ref="A324:L324"/>
    <mergeCell ref="A325:C325"/>
    <mergeCell ref="D325:L325"/>
    <mergeCell ref="A326:C326"/>
    <mergeCell ref="D326:L326"/>
    <mergeCell ref="B319:D319"/>
    <mergeCell ref="G319:H319"/>
    <mergeCell ref="I319:J319"/>
    <mergeCell ref="F320:F321"/>
    <mergeCell ref="G320:J320"/>
    <mergeCell ref="G321:J321"/>
    <mergeCell ref="B315:D315"/>
    <mergeCell ref="E315:H315"/>
    <mergeCell ref="A316:L316"/>
    <mergeCell ref="C317:D317"/>
    <mergeCell ref="J317:L317"/>
    <mergeCell ref="B318:D318"/>
    <mergeCell ref="G318:H318"/>
    <mergeCell ref="I318:J318"/>
    <mergeCell ref="K318:L318"/>
    <mergeCell ref="B313:D313"/>
    <mergeCell ref="I313:J313"/>
    <mergeCell ref="K313:L313"/>
    <mergeCell ref="B314:D314"/>
    <mergeCell ref="I314:J314"/>
    <mergeCell ref="B309:D309"/>
    <mergeCell ref="I309:J309"/>
    <mergeCell ref="B310:D310"/>
    <mergeCell ref="E310:H310"/>
    <mergeCell ref="A311:L311"/>
    <mergeCell ref="C312:D312"/>
    <mergeCell ref="J312:L312"/>
    <mergeCell ref="A306:L306"/>
    <mergeCell ref="C307:D307"/>
    <mergeCell ref="J307:L307"/>
    <mergeCell ref="B308:D308"/>
    <mergeCell ref="I308:J308"/>
    <mergeCell ref="K308:L308"/>
    <mergeCell ref="B299:D299"/>
    <mergeCell ref="B300:D300"/>
    <mergeCell ref="B301:D301"/>
    <mergeCell ref="B302:D302"/>
    <mergeCell ref="A303:D305"/>
    <mergeCell ref="I303:J303"/>
    <mergeCell ref="A294:L294"/>
    <mergeCell ref="C295:D295"/>
    <mergeCell ref="J295:L295"/>
    <mergeCell ref="B296:D296"/>
    <mergeCell ref="B297:D297"/>
    <mergeCell ref="B298:D298"/>
    <mergeCell ref="A281:L281"/>
    <mergeCell ref="C282:D282"/>
    <mergeCell ref="J282:L282"/>
    <mergeCell ref="B283:D283"/>
    <mergeCell ref="B284:D284"/>
    <mergeCell ref="A291:D293"/>
    <mergeCell ref="I291:J291"/>
    <mergeCell ref="B273:D273"/>
    <mergeCell ref="B275:D275"/>
    <mergeCell ref="B276:D276"/>
    <mergeCell ref="B277:D277"/>
    <mergeCell ref="A278:D280"/>
    <mergeCell ref="I278:J278"/>
    <mergeCell ref="A268:L268"/>
    <mergeCell ref="C269:D269"/>
    <mergeCell ref="J269:L269"/>
    <mergeCell ref="B270:D270"/>
    <mergeCell ref="B221:D221"/>
    <mergeCell ref="B222:D222"/>
    <mergeCell ref="A223:E225"/>
    <mergeCell ref="F224:G224"/>
    <mergeCell ref="A226:L226"/>
    <mergeCell ref="C227:D227"/>
    <mergeCell ref="J227:L227"/>
    <mergeCell ref="B228:D228"/>
    <mergeCell ref="B215:D215"/>
    <mergeCell ref="B216:D216"/>
    <mergeCell ref="B217:D217"/>
    <mergeCell ref="B218:D218"/>
    <mergeCell ref="B219:D219"/>
    <mergeCell ref="B220:D220"/>
    <mergeCell ref="B209:D209"/>
    <mergeCell ref="B210:D210"/>
    <mergeCell ref="B211:D211"/>
    <mergeCell ref="B212:D212"/>
    <mergeCell ref="B213:D213"/>
    <mergeCell ref="B214:D214"/>
    <mergeCell ref="A204:L204"/>
    <mergeCell ref="C205:D205"/>
    <mergeCell ref="J205:L205"/>
    <mergeCell ref="B206:D206"/>
    <mergeCell ref="B207:D207"/>
    <mergeCell ref="B208:D208"/>
    <mergeCell ref="B196:D196"/>
    <mergeCell ref="B197:D197"/>
    <mergeCell ref="B198:D198"/>
    <mergeCell ref="B200:D200"/>
    <mergeCell ref="B201:D201"/>
    <mergeCell ref="A202:D203"/>
    <mergeCell ref="B188:D188"/>
    <mergeCell ref="B189:D189"/>
    <mergeCell ref="A190:E193"/>
    <mergeCell ref="F191:G192"/>
    <mergeCell ref="A194:L194"/>
    <mergeCell ref="C195:D195"/>
    <mergeCell ref="J195:L195"/>
    <mergeCell ref="B182:D182"/>
    <mergeCell ref="B183:D183"/>
    <mergeCell ref="B184:D184"/>
    <mergeCell ref="B185:D185"/>
    <mergeCell ref="B186:D186"/>
    <mergeCell ref="B187:D187"/>
    <mergeCell ref="C177:D177"/>
    <mergeCell ref="J177:L177"/>
    <mergeCell ref="B178:D178"/>
    <mergeCell ref="B179:D179"/>
    <mergeCell ref="B180:D180"/>
    <mergeCell ref="B181:D181"/>
    <mergeCell ref="B168:D168"/>
    <mergeCell ref="B169:D169"/>
    <mergeCell ref="B171:D171"/>
    <mergeCell ref="B172:D172"/>
    <mergeCell ref="B173:D173"/>
    <mergeCell ref="A176:L176"/>
    <mergeCell ref="B162:D162"/>
    <mergeCell ref="B163:D163"/>
    <mergeCell ref="A164:D165"/>
    <mergeCell ref="A166:L166"/>
    <mergeCell ref="C167:D167"/>
    <mergeCell ref="J167:L167"/>
    <mergeCell ref="B156:D156"/>
    <mergeCell ref="B157:D157"/>
    <mergeCell ref="B158:D158"/>
    <mergeCell ref="B159:D159"/>
    <mergeCell ref="B160:D160"/>
    <mergeCell ref="B161:D161"/>
    <mergeCell ref="B149:D149"/>
    <mergeCell ref="A150:D153"/>
    <mergeCell ref="F152:G152"/>
    <mergeCell ref="A154:L154"/>
    <mergeCell ref="C155:D155"/>
    <mergeCell ref="J155:L155"/>
    <mergeCell ref="B143:D143"/>
    <mergeCell ref="B144:D144"/>
    <mergeCell ref="B145:D145"/>
    <mergeCell ref="B146:D146"/>
    <mergeCell ref="B147:D147"/>
    <mergeCell ref="B148:D148"/>
    <mergeCell ref="A135:D138"/>
    <mergeCell ref="A139:L139"/>
    <mergeCell ref="C140:D140"/>
    <mergeCell ref="J140:L140"/>
    <mergeCell ref="B141:D141"/>
    <mergeCell ref="B142:D142"/>
    <mergeCell ref="B129:D129"/>
    <mergeCell ref="B130:D130"/>
    <mergeCell ref="B131:D131"/>
    <mergeCell ref="B132:D132"/>
    <mergeCell ref="B133:D133"/>
    <mergeCell ref="B134:D134"/>
    <mergeCell ref="C124:D124"/>
    <mergeCell ref="J124:L124"/>
    <mergeCell ref="B125:D125"/>
    <mergeCell ref="B126:D126"/>
    <mergeCell ref="B127:D127"/>
    <mergeCell ref="B128:D128"/>
    <mergeCell ref="B118:D118"/>
    <mergeCell ref="B119:D119"/>
    <mergeCell ref="A120:D122"/>
    <mergeCell ref="G121:H122"/>
    <mergeCell ref="E122:F122"/>
    <mergeCell ref="A123:L123"/>
    <mergeCell ref="C113:D113"/>
    <mergeCell ref="J113:L113"/>
    <mergeCell ref="B114:D114"/>
    <mergeCell ref="B115:D115"/>
    <mergeCell ref="B116:D116"/>
    <mergeCell ref="B117:D117"/>
    <mergeCell ref="B105:D105"/>
    <mergeCell ref="B106:D106"/>
    <mergeCell ref="B107:D107"/>
    <mergeCell ref="B108:D108"/>
    <mergeCell ref="A109:D111"/>
    <mergeCell ref="A112:L112"/>
    <mergeCell ref="B99:D99"/>
    <mergeCell ref="B100:D100"/>
    <mergeCell ref="B101:D101"/>
    <mergeCell ref="B102:D102"/>
    <mergeCell ref="B103:D103"/>
    <mergeCell ref="B104:D104"/>
    <mergeCell ref="B90:D90"/>
    <mergeCell ref="B91:D91"/>
    <mergeCell ref="A93:E96"/>
    <mergeCell ref="F94:G95"/>
    <mergeCell ref="A97:L97"/>
    <mergeCell ref="C98:D98"/>
    <mergeCell ref="J98:L98"/>
    <mergeCell ref="A85:L85"/>
    <mergeCell ref="C86:D86"/>
    <mergeCell ref="J86:L86"/>
    <mergeCell ref="B87:D87"/>
    <mergeCell ref="B88:D88"/>
    <mergeCell ref="B89:D89"/>
    <mergeCell ref="B77:D77"/>
    <mergeCell ref="B78:D78"/>
    <mergeCell ref="B79:D79"/>
    <mergeCell ref="B80:D80"/>
    <mergeCell ref="B81:D81"/>
    <mergeCell ref="B82:D82"/>
    <mergeCell ref="C71:D71"/>
    <mergeCell ref="J71:L71"/>
    <mergeCell ref="B72:D72"/>
    <mergeCell ref="B73:D73"/>
    <mergeCell ref="B75:D75"/>
    <mergeCell ref="B76:D76"/>
    <mergeCell ref="B61:D61"/>
    <mergeCell ref="B62:D62"/>
    <mergeCell ref="B63:D63"/>
    <mergeCell ref="A65:D69"/>
    <mergeCell ref="F66:G68"/>
    <mergeCell ref="A70:L70"/>
    <mergeCell ref="B55:D55"/>
    <mergeCell ref="B56:D56"/>
    <mergeCell ref="B57:D57"/>
    <mergeCell ref="B58:D58"/>
    <mergeCell ref="B59:D59"/>
    <mergeCell ref="B60:D60"/>
    <mergeCell ref="B49:D49"/>
    <mergeCell ref="B50:D50"/>
    <mergeCell ref="B51:D51"/>
    <mergeCell ref="B52:D52"/>
    <mergeCell ref="B53:D53"/>
    <mergeCell ref="B54:D54"/>
    <mergeCell ref="B43:D43"/>
    <mergeCell ref="B44:D44"/>
    <mergeCell ref="A46:L46"/>
    <mergeCell ref="C47:D47"/>
    <mergeCell ref="J47:L47"/>
    <mergeCell ref="B48:D48"/>
    <mergeCell ref="B37:D37"/>
    <mergeCell ref="B38:D38"/>
    <mergeCell ref="B39:D39"/>
    <mergeCell ref="B40:D40"/>
    <mergeCell ref="B41:D41"/>
    <mergeCell ref="B42:D42"/>
    <mergeCell ref="B31:D31"/>
    <mergeCell ref="B32:D32"/>
    <mergeCell ref="B33:D33"/>
    <mergeCell ref="B34:D34"/>
    <mergeCell ref="B35:D35"/>
    <mergeCell ref="B36:D36"/>
    <mergeCell ref="C26:D26"/>
    <mergeCell ref="J26:L26"/>
    <mergeCell ref="B27:D27"/>
    <mergeCell ref="B28:D28"/>
    <mergeCell ref="B29:D29"/>
    <mergeCell ref="B30:D30"/>
    <mergeCell ref="B19:D19"/>
    <mergeCell ref="B20:D20"/>
    <mergeCell ref="B21:D21"/>
    <mergeCell ref="B22:D22"/>
    <mergeCell ref="B23:D23"/>
    <mergeCell ref="A25:L25"/>
    <mergeCell ref="B13:D13"/>
    <mergeCell ref="B14:D14"/>
    <mergeCell ref="B15:D15"/>
    <mergeCell ref="B16:D16"/>
    <mergeCell ref="B17:D17"/>
    <mergeCell ref="B18:D18"/>
    <mergeCell ref="B7:D7"/>
    <mergeCell ref="B8:D8"/>
    <mergeCell ref="B9:D9"/>
    <mergeCell ref="B10:D10"/>
    <mergeCell ref="B11:D11"/>
    <mergeCell ref="B12:D12"/>
    <mergeCell ref="A1:L1"/>
    <mergeCell ref="A2:L2"/>
    <mergeCell ref="A3:L3"/>
    <mergeCell ref="A4:L4"/>
    <mergeCell ref="A5:L5"/>
    <mergeCell ref="C6:D6"/>
    <mergeCell ref="J6:L6"/>
  </mergeCells>
  <conditionalFormatting sqref="P155:P164">
    <cfRule type="duplicateValues" dxfId="180" priority="162"/>
  </conditionalFormatting>
  <conditionalFormatting sqref="P2557:P2560">
    <cfRule type="duplicateValues" dxfId="179" priority="161"/>
  </conditionalFormatting>
  <conditionalFormatting sqref="P2465:P2466">
    <cfRule type="duplicateValues" dxfId="178" priority="160"/>
  </conditionalFormatting>
  <conditionalFormatting sqref="P2812">
    <cfRule type="duplicateValues" dxfId="177" priority="159"/>
  </conditionalFormatting>
  <conditionalFormatting sqref="P2820:P2821">
    <cfRule type="duplicateValues" dxfId="176" priority="158"/>
  </conditionalFormatting>
  <conditionalFormatting sqref="P2825:P2827">
    <cfRule type="duplicateValues" dxfId="175" priority="157"/>
  </conditionalFormatting>
  <conditionalFormatting sqref="P312:P313">
    <cfRule type="duplicateValues" dxfId="174" priority="156"/>
  </conditionalFormatting>
  <conditionalFormatting sqref="P409:P410">
    <cfRule type="duplicateValues" dxfId="173" priority="155"/>
  </conditionalFormatting>
  <conditionalFormatting sqref="P424:P425">
    <cfRule type="duplicateValues" dxfId="172" priority="154"/>
  </conditionalFormatting>
  <conditionalFormatting sqref="P429:P430">
    <cfRule type="duplicateValues" dxfId="171" priority="153"/>
  </conditionalFormatting>
  <conditionalFormatting sqref="P520:P521">
    <cfRule type="duplicateValues" dxfId="170" priority="152"/>
  </conditionalFormatting>
  <conditionalFormatting sqref="P545:P546">
    <cfRule type="duplicateValues" dxfId="169" priority="151"/>
  </conditionalFormatting>
  <conditionalFormatting sqref="P567:P568">
    <cfRule type="duplicateValues" dxfId="168" priority="150"/>
  </conditionalFormatting>
  <conditionalFormatting sqref="P616:P617">
    <cfRule type="duplicateValues" dxfId="167" priority="149"/>
  </conditionalFormatting>
  <conditionalFormatting sqref="P668:P669">
    <cfRule type="duplicateValues" dxfId="166" priority="148"/>
  </conditionalFormatting>
  <conditionalFormatting sqref="P673:P674">
    <cfRule type="duplicateValues" dxfId="165" priority="147"/>
  </conditionalFormatting>
  <conditionalFormatting sqref="P713:P714">
    <cfRule type="duplicateValues" dxfId="164" priority="146"/>
  </conditionalFormatting>
  <conditionalFormatting sqref="P798:P800">
    <cfRule type="duplicateValues" dxfId="163" priority="145"/>
  </conditionalFormatting>
  <conditionalFormatting sqref="P823:P824">
    <cfRule type="duplicateValues" dxfId="162" priority="144"/>
  </conditionalFormatting>
  <conditionalFormatting sqref="P834:P835">
    <cfRule type="duplicateValues" dxfId="161" priority="143"/>
  </conditionalFormatting>
  <conditionalFormatting sqref="P854:P855">
    <cfRule type="duplicateValues" dxfId="160" priority="142"/>
  </conditionalFormatting>
  <conditionalFormatting sqref="P859:P860">
    <cfRule type="duplicateValues" dxfId="159" priority="141"/>
  </conditionalFormatting>
  <conditionalFormatting sqref="P865:P866">
    <cfRule type="duplicateValues" dxfId="158" priority="140"/>
  </conditionalFormatting>
  <conditionalFormatting sqref="P1514:P1515">
    <cfRule type="duplicateValues" dxfId="157" priority="139"/>
  </conditionalFormatting>
  <conditionalFormatting sqref="P1704:P1705">
    <cfRule type="duplicateValues" dxfId="156" priority="138"/>
  </conditionalFormatting>
  <conditionalFormatting sqref="P1710:P1711">
    <cfRule type="duplicateValues" dxfId="155" priority="137"/>
  </conditionalFormatting>
  <conditionalFormatting sqref="P1814:P1815">
    <cfRule type="duplicateValues" dxfId="154" priority="136"/>
  </conditionalFormatting>
  <conditionalFormatting sqref="P1842:P1843">
    <cfRule type="duplicateValues" dxfId="153" priority="135"/>
  </conditionalFormatting>
  <conditionalFormatting sqref="P1847:P1848">
    <cfRule type="duplicateValues" dxfId="152" priority="134"/>
  </conditionalFormatting>
  <conditionalFormatting sqref="P2003:P2004">
    <cfRule type="duplicateValues" dxfId="151" priority="133"/>
  </conditionalFormatting>
  <conditionalFormatting sqref="P2119:P2120">
    <cfRule type="duplicateValues" dxfId="150" priority="132"/>
  </conditionalFormatting>
  <conditionalFormatting sqref="P2128:P2129">
    <cfRule type="duplicateValues" dxfId="149" priority="131"/>
  </conditionalFormatting>
  <conditionalFormatting sqref="P2357:P2358">
    <cfRule type="duplicateValues" dxfId="148" priority="130"/>
  </conditionalFormatting>
  <conditionalFormatting sqref="P2365:P2366">
    <cfRule type="duplicateValues" dxfId="147" priority="129"/>
  </conditionalFormatting>
  <conditionalFormatting sqref="P2460:P2461">
    <cfRule type="duplicateValues" dxfId="146" priority="128"/>
  </conditionalFormatting>
  <conditionalFormatting sqref="P2483:P2484">
    <cfRule type="duplicateValues" dxfId="145" priority="127"/>
  </conditionalFormatting>
  <conditionalFormatting sqref="P2488:P2489">
    <cfRule type="duplicateValues" dxfId="144" priority="126"/>
  </conditionalFormatting>
  <conditionalFormatting sqref="P2815:P2816">
    <cfRule type="duplicateValues" dxfId="143" priority="125"/>
  </conditionalFormatting>
  <conditionalFormatting sqref="P2832:P2833">
    <cfRule type="duplicateValues" dxfId="142" priority="124"/>
  </conditionalFormatting>
  <conditionalFormatting sqref="P3487:P3488">
    <cfRule type="duplicateValues" dxfId="141" priority="123"/>
  </conditionalFormatting>
  <conditionalFormatting sqref="P3624:P3625">
    <cfRule type="duplicateValues" dxfId="140" priority="122"/>
  </conditionalFormatting>
  <conditionalFormatting sqref="P3674:P3675">
    <cfRule type="duplicateValues" dxfId="139" priority="121"/>
  </conditionalFormatting>
  <conditionalFormatting sqref="P3706:P3707">
    <cfRule type="duplicateValues" dxfId="138" priority="120"/>
  </conditionalFormatting>
  <conditionalFormatting sqref="P3898:P3900 P3786:P3787">
    <cfRule type="duplicateValues" dxfId="137" priority="119"/>
  </conditionalFormatting>
  <conditionalFormatting sqref="P3942:P3943 P3952:P3954">
    <cfRule type="duplicateValues" dxfId="136" priority="118"/>
  </conditionalFormatting>
  <conditionalFormatting sqref="P4005:P4006 P3961:P3962">
    <cfRule type="duplicateValues" dxfId="135" priority="163"/>
  </conditionalFormatting>
  <conditionalFormatting sqref="P4184:P4186 P4065:P4066">
    <cfRule type="duplicateValues" dxfId="134" priority="117"/>
  </conditionalFormatting>
  <conditionalFormatting sqref="P4309:P4311 P4190:P4191">
    <cfRule type="duplicateValues" dxfId="133" priority="116"/>
  </conditionalFormatting>
  <conditionalFormatting sqref="P4315:P4321">
    <cfRule type="duplicateValues" dxfId="132" priority="115"/>
  </conditionalFormatting>
  <conditionalFormatting sqref="P4391:P4394 P4323:P4324">
    <cfRule type="duplicateValues" dxfId="131" priority="164"/>
  </conditionalFormatting>
  <conditionalFormatting sqref="P368:P372">
    <cfRule type="duplicateValues" dxfId="130" priority="165"/>
  </conditionalFormatting>
  <conditionalFormatting sqref="P383 P375:P381">
    <cfRule type="duplicateValues" dxfId="129" priority="114"/>
  </conditionalFormatting>
  <conditionalFormatting sqref="P382">
    <cfRule type="duplicateValues" dxfId="128" priority="113"/>
  </conditionalFormatting>
  <conditionalFormatting sqref="P572:P576">
    <cfRule type="duplicateValues" dxfId="127" priority="112"/>
  </conditionalFormatting>
  <conditionalFormatting sqref="P636:P637">
    <cfRule type="duplicateValues" dxfId="126" priority="111"/>
  </conditionalFormatting>
  <conditionalFormatting sqref="P4600:P4613">
    <cfRule type="duplicateValues" dxfId="125" priority="110"/>
  </conditionalFormatting>
  <conditionalFormatting sqref="P2462">
    <cfRule type="duplicateValues" dxfId="124" priority="166"/>
  </conditionalFormatting>
  <conditionalFormatting sqref="R28:R43 P23:P26 P44:P47 R8:R22 P65:P70 R49:R64">
    <cfRule type="duplicateValues" dxfId="123" priority="108"/>
  </conditionalFormatting>
  <conditionalFormatting sqref="R73:R85 P93:P96 P71">
    <cfRule type="duplicateValues" dxfId="122" priority="109"/>
  </conditionalFormatting>
  <conditionalFormatting sqref="R88:R92 P86">
    <cfRule type="duplicateValues" dxfId="121" priority="107"/>
  </conditionalFormatting>
  <conditionalFormatting sqref="P307:P308">
    <cfRule type="duplicateValues" dxfId="120" priority="106"/>
  </conditionalFormatting>
  <conditionalFormatting sqref="P335:P336">
    <cfRule type="duplicateValues" dxfId="119" priority="105"/>
  </conditionalFormatting>
  <conditionalFormatting sqref="P399:P400">
    <cfRule type="duplicateValues" dxfId="118" priority="104"/>
  </conditionalFormatting>
  <conditionalFormatting sqref="P414:P415">
    <cfRule type="duplicateValues" dxfId="117" priority="103"/>
  </conditionalFormatting>
  <conditionalFormatting sqref="P419:P420">
    <cfRule type="duplicateValues" dxfId="116" priority="102"/>
  </conditionalFormatting>
  <conditionalFormatting sqref="P515:P516">
    <cfRule type="duplicateValues" dxfId="115" priority="101"/>
  </conditionalFormatting>
  <conditionalFormatting sqref="P769:P770">
    <cfRule type="duplicateValues" dxfId="114" priority="100"/>
  </conditionalFormatting>
  <conditionalFormatting sqref="P783:P784">
    <cfRule type="duplicateValues" dxfId="113" priority="99"/>
  </conditionalFormatting>
  <conditionalFormatting sqref="P788:P789">
    <cfRule type="duplicateValues" dxfId="112" priority="98"/>
  </conditionalFormatting>
  <conditionalFormatting sqref="P803:P804">
    <cfRule type="duplicateValues" dxfId="111" priority="97"/>
  </conditionalFormatting>
  <conditionalFormatting sqref="P813:P814">
    <cfRule type="duplicateValues" dxfId="110" priority="96"/>
  </conditionalFormatting>
  <conditionalFormatting sqref="P808:P809">
    <cfRule type="duplicateValues" dxfId="109" priority="95"/>
  </conditionalFormatting>
  <conditionalFormatting sqref="P829:P830">
    <cfRule type="duplicateValues" dxfId="108" priority="94"/>
  </conditionalFormatting>
  <conditionalFormatting sqref="P1451:P1452">
    <cfRule type="duplicateValues" dxfId="107" priority="93"/>
  </conditionalFormatting>
  <conditionalFormatting sqref="P1496:P1497">
    <cfRule type="duplicateValues" dxfId="106" priority="92"/>
  </conditionalFormatting>
  <conditionalFormatting sqref="P1506:P1507">
    <cfRule type="duplicateValues" dxfId="105" priority="91"/>
  </conditionalFormatting>
  <conditionalFormatting sqref="P1504:P1505">
    <cfRule type="duplicateValues" dxfId="104" priority="167"/>
  </conditionalFormatting>
  <conditionalFormatting sqref="P1648:P1649">
    <cfRule type="duplicateValues" dxfId="103" priority="90"/>
  </conditionalFormatting>
  <conditionalFormatting sqref="P1685:P1686">
    <cfRule type="duplicateValues" dxfId="102" priority="89"/>
  </conditionalFormatting>
  <conditionalFormatting sqref="P1680:P1681">
    <cfRule type="duplicateValues" dxfId="101" priority="88"/>
  </conditionalFormatting>
  <conditionalFormatting sqref="P1690:P1691">
    <cfRule type="duplicateValues" dxfId="100" priority="87"/>
  </conditionalFormatting>
  <conditionalFormatting sqref="P1695:P1696">
    <cfRule type="duplicateValues" dxfId="99" priority="86"/>
  </conditionalFormatting>
  <conditionalFormatting sqref="P1519:P1520">
    <cfRule type="duplicateValues" dxfId="98" priority="168"/>
  </conditionalFormatting>
  <conditionalFormatting sqref="P1712:P1713">
    <cfRule type="duplicateValues" dxfId="97" priority="85"/>
  </conditionalFormatting>
  <conditionalFormatting sqref="P1824:P1825">
    <cfRule type="duplicateValues" dxfId="96" priority="84"/>
  </conditionalFormatting>
  <conditionalFormatting sqref="P1829:P1830">
    <cfRule type="duplicateValues" dxfId="95" priority="83"/>
  </conditionalFormatting>
  <conditionalFormatting sqref="P1834:P1835">
    <cfRule type="duplicateValues" dxfId="94" priority="169"/>
  </conditionalFormatting>
  <conditionalFormatting sqref="P2549:P2550">
    <cfRule type="duplicateValues" dxfId="93" priority="82"/>
  </conditionalFormatting>
  <conditionalFormatting sqref="P2503:P2504">
    <cfRule type="duplicateValues" dxfId="92" priority="170"/>
  </conditionalFormatting>
  <conditionalFormatting sqref="P2591 O2590">
    <cfRule type="duplicateValues" dxfId="91" priority="81"/>
  </conditionalFormatting>
  <conditionalFormatting sqref="P2600:P2601">
    <cfRule type="duplicateValues" dxfId="90" priority="171"/>
  </conditionalFormatting>
  <conditionalFormatting sqref="P2562:P2563">
    <cfRule type="duplicateValues" dxfId="89" priority="172"/>
  </conditionalFormatting>
  <conditionalFormatting sqref="P2649:P2650">
    <cfRule type="duplicateValues" dxfId="88" priority="80"/>
  </conditionalFormatting>
  <conditionalFormatting sqref="P2603:P2604">
    <cfRule type="duplicateValues" dxfId="87" priority="173"/>
  </conditionalFormatting>
  <conditionalFormatting sqref="P2761:P2762">
    <cfRule type="duplicateValues" dxfId="86" priority="79"/>
  </conditionalFormatting>
  <conditionalFormatting sqref="P2691:P2692">
    <cfRule type="duplicateValues" dxfId="85" priority="174"/>
  </conditionalFormatting>
  <conditionalFormatting sqref="P2766:P2767">
    <cfRule type="duplicateValues" dxfId="84" priority="78"/>
  </conditionalFormatting>
  <conditionalFormatting sqref="P2765">
    <cfRule type="duplicateValues" dxfId="83" priority="175"/>
  </conditionalFormatting>
  <conditionalFormatting sqref="P2781:P2782">
    <cfRule type="duplicateValues" dxfId="82" priority="77"/>
  </conditionalFormatting>
  <conditionalFormatting sqref="P2786:P2787">
    <cfRule type="duplicateValues" dxfId="81" priority="76"/>
  </conditionalFormatting>
  <conditionalFormatting sqref="P2771:P2772">
    <cfRule type="duplicateValues" dxfId="80" priority="75"/>
  </conditionalFormatting>
  <conditionalFormatting sqref="P2776:P2777">
    <cfRule type="duplicateValues" dxfId="79" priority="74"/>
  </conditionalFormatting>
  <conditionalFormatting sqref="P2922:P2923">
    <cfRule type="duplicateValues" dxfId="78" priority="73"/>
  </conditionalFormatting>
  <conditionalFormatting sqref="P2927:P2928">
    <cfRule type="duplicateValues" dxfId="77" priority="72"/>
  </conditionalFormatting>
  <conditionalFormatting sqref="P2932:P2933">
    <cfRule type="duplicateValues" dxfId="76" priority="71"/>
  </conditionalFormatting>
  <conditionalFormatting sqref="P2937:P2938">
    <cfRule type="duplicateValues" dxfId="75" priority="70"/>
  </conditionalFormatting>
  <conditionalFormatting sqref="P2969:P2970">
    <cfRule type="duplicateValues" dxfId="74" priority="69"/>
  </conditionalFormatting>
  <conditionalFormatting sqref="P2974:P2975">
    <cfRule type="duplicateValues" dxfId="73" priority="68"/>
  </conditionalFormatting>
  <conditionalFormatting sqref="P3040:P3041">
    <cfRule type="duplicateValues" dxfId="72" priority="67"/>
  </conditionalFormatting>
  <conditionalFormatting sqref="P3045:P3046">
    <cfRule type="duplicateValues" dxfId="71" priority="66"/>
  </conditionalFormatting>
  <conditionalFormatting sqref="P4538:P4539">
    <cfRule type="duplicateValues" dxfId="70" priority="64"/>
  </conditionalFormatting>
  <conditionalFormatting sqref="P4397:P4398">
    <cfRule type="duplicateValues" dxfId="69" priority="176"/>
  </conditionalFormatting>
  <conditionalFormatting sqref="P135:P152 P97 P112 O126:O134 P124:P125">
    <cfRule type="duplicateValues" dxfId="68" priority="177"/>
  </conditionalFormatting>
  <conditionalFormatting sqref="P167 R169 P190:P194 R171:R176">
    <cfRule type="duplicateValues" dxfId="67" priority="63"/>
  </conditionalFormatting>
  <conditionalFormatting sqref="P177 R183:R189">
    <cfRule type="duplicateValues" dxfId="66" priority="62"/>
  </conditionalFormatting>
  <conditionalFormatting sqref="R170">
    <cfRule type="duplicateValues" dxfId="65" priority="61"/>
  </conditionalFormatting>
  <conditionalFormatting sqref="P195:P198 P200:P202">
    <cfRule type="duplicateValues" dxfId="64" priority="178"/>
  </conditionalFormatting>
  <conditionalFormatting sqref="R199">
    <cfRule type="duplicateValues" dxfId="63" priority="60"/>
  </conditionalFormatting>
  <conditionalFormatting sqref="P3982:P3986 O3965:O3981 P3963:P3964">
    <cfRule type="duplicateValues" dxfId="62" priority="59"/>
  </conditionalFormatting>
  <conditionalFormatting sqref="P4000:P4004 O3989:O3999 P3987:P3988">
    <cfRule type="duplicateValues" dxfId="61" priority="58"/>
  </conditionalFormatting>
  <conditionalFormatting sqref="P317:P318">
    <cfRule type="duplicateValues" dxfId="60" priority="57"/>
  </conditionalFormatting>
  <conditionalFormatting sqref="P1450">
    <cfRule type="duplicateValues" dxfId="59" priority="56"/>
  </conditionalFormatting>
  <conditionalFormatting sqref="P1675:P1676">
    <cfRule type="duplicateValues" dxfId="58" priority="55"/>
  </conditionalFormatting>
  <conditionalFormatting sqref="P1809:P1810">
    <cfRule type="duplicateValues" dxfId="57" priority="54"/>
  </conditionalFormatting>
  <conditionalFormatting sqref="P2595:P2596">
    <cfRule type="duplicateValues" dxfId="56" priority="53"/>
  </conditionalFormatting>
  <conditionalFormatting sqref="P4010">
    <cfRule type="duplicateValues" dxfId="55" priority="52"/>
  </conditionalFormatting>
  <conditionalFormatting sqref="P4011">
    <cfRule type="duplicateValues" dxfId="54" priority="51"/>
  </conditionalFormatting>
  <conditionalFormatting sqref="P3081:P3082">
    <cfRule type="duplicateValues" dxfId="53" priority="50"/>
  </conditionalFormatting>
  <conditionalFormatting sqref="P3076:P3077">
    <cfRule type="duplicateValues" dxfId="52" priority="180"/>
  </conditionalFormatting>
  <conditionalFormatting sqref="P3379:P3380">
    <cfRule type="duplicateValues" dxfId="51" priority="49"/>
  </conditionalFormatting>
  <conditionalFormatting sqref="P3357:P3358">
    <cfRule type="duplicateValues" dxfId="50" priority="181"/>
  </conditionalFormatting>
  <conditionalFormatting sqref="P3404:P3405">
    <cfRule type="duplicateValues" dxfId="49" priority="48"/>
  </conditionalFormatting>
  <conditionalFormatting sqref="P3587:P3588">
    <cfRule type="duplicateValues" dxfId="48" priority="47"/>
  </conditionalFormatting>
  <conditionalFormatting sqref="P3492:P3493">
    <cfRule type="duplicateValues" dxfId="47" priority="182"/>
  </conditionalFormatting>
  <conditionalFormatting sqref="P3937:P3938 P3907:P3908">
    <cfRule type="duplicateValues" dxfId="46" priority="183"/>
  </conditionalFormatting>
  <conditionalFormatting sqref="R273">
    <cfRule type="duplicateValues" dxfId="45" priority="41"/>
  </conditionalFormatting>
  <conditionalFormatting sqref="P269:P272 P274:P279">
    <cfRule type="duplicateValues" dxfId="44" priority="185"/>
  </conditionalFormatting>
  <conditionalFormatting sqref="R286">
    <cfRule type="duplicateValues" dxfId="43" priority="39"/>
  </conditionalFormatting>
  <conditionalFormatting sqref="P282:P285 P287:P292">
    <cfRule type="duplicateValues" dxfId="42" priority="40"/>
  </conditionalFormatting>
  <conditionalFormatting sqref="R299">
    <cfRule type="duplicateValues" dxfId="41" priority="38"/>
  </conditionalFormatting>
  <conditionalFormatting sqref="P295:P298 P300:P304">
    <cfRule type="duplicateValues" dxfId="40" priority="186"/>
  </conditionalFormatting>
  <conditionalFormatting sqref="R2434">
    <cfRule type="duplicateValues" dxfId="39" priority="31"/>
  </conditionalFormatting>
  <conditionalFormatting sqref="P2430:P2433 P2435:P2441">
    <cfRule type="duplicateValues" dxfId="38" priority="187"/>
  </conditionalFormatting>
  <conditionalFormatting sqref="P818:P819">
    <cfRule type="duplicateValues" dxfId="37" priority="30"/>
  </conditionalFormatting>
  <conditionalFormatting sqref="P4365:P4366 P4374:P4376">
    <cfRule type="duplicateValues" dxfId="36" priority="28"/>
  </conditionalFormatting>
  <conditionalFormatting sqref="P4389:P4390">
    <cfRule type="duplicateValues" dxfId="35" priority="29"/>
  </conditionalFormatting>
  <conditionalFormatting sqref="P4381:P4382">
    <cfRule type="duplicateValues" dxfId="34" priority="27"/>
  </conditionalFormatting>
  <conditionalFormatting sqref="P3882:P3889">
    <cfRule type="duplicateValues" dxfId="33" priority="189"/>
  </conditionalFormatting>
  <conditionalFormatting sqref="P205 R211:R222">
    <cfRule type="duplicateValues" dxfId="32" priority="26"/>
  </conditionalFormatting>
  <conditionalFormatting sqref="P223:P226">
    <cfRule type="duplicateValues" dxfId="31" priority="190"/>
  </conditionalFormatting>
  <conditionalFormatting sqref="P386:P387">
    <cfRule type="duplicateValues" dxfId="30" priority="25"/>
  </conditionalFormatting>
  <conditionalFormatting sqref="P404:P405">
    <cfRule type="duplicateValues" dxfId="29" priority="24"/>
  </conditionalFormatting>
  <conditionalFormatting sqref="P793:P794">
    <cfRule type="duplicateValues" dxfId="28" priority="23"/>
  </conditionalFormatting>
  <conditionalFormatting sqref="P1839:P1840">
    <cfRule type="duplicateValues" dxfId="27" priority="22"/>
  </conditionalFormatting>
  <conditionalFormatting sqref="P3438:P3440">
    <cfRule type="duplicateValues" dxfId="26" priority="21"/>
  </conditionalFormatting>
  <conditionalFormatting sqref="P4342:P4343">
    <cfRule type="duplicateValues" dxfId="25" priority="20"/>
  </conditionalFormatting>
  <conditionalFormatting sqref="P4339:P4340">
    <cfRule type="duplicateValues" dxfId="24" priority="191"/>
  </conditionalFormatting>
  <conditionalFormatting sqref="P4370:P4371">
    <cfRule type="duplicateValues" dxfId="23" priority="18"/>
  </conditionalFormatting>
  <conditionalFormatting sqref="P4367:P4368">
    <cfRule type="duplicateValues" dxfId="22" priority="19"/>
  </conditionalFormatting>
  <conditionalFormatting sqref="P1464:P1466 P1453:P1461">
    <cfRule type="duplicateValues" dxfId="21" priority="17"/>
  </conditionalFormatting>
  <conditionalFormatting sqref="P123">
    <cfRule type="duplicateValues" dxfId="20" priority="192"/>
  </conditionalFormatting>
  <conditionalFormatting sqref="P579:P581">
    <cfRule type="duplicateValues" dxfId="19" priority="193"/>
  </conditionalFormatting>
  <conditionalFormatting sqref="P2802:P2803">
    <cfRule type="duplicateValues" dxfId="18" priority="16"/>
  </conditionalFormatting>
  <conditionalFormatting sqref="P2796:P2798">
    <cfRule type="duplicateValues" dxfId="17" priority="15"/>
  </conditionalFormatting>
  <conditionalFormatting sqref="R2388">
    <cfRule type="duplicateValues" dxfId="16" priority="12"/>
  </conditionalFormatting>
  <conditionalFormatting sqref="P2389:P2396 P2386:P2387">
    <cfRule type="duplicateValues" dxfId="15" priority="13"/>
  </conditionalFormatting>
  <conditionalFormatting sqref="R2402">
    <cfRule type="duplicateValues" dxfId="14" priority="10"/>
  </conditionalFormatting>
  <conditionalFormatting sqref="P2397:P2401 P2403:P2410">
    <cfRule type="duplicateValues" dxfId="13" priority="11"/>
  </conditionalFormatting>
  <conditionalFormatting sqref="P2411">
    <cfRule type="duplicateValues" dxfId="12" priority="9"/>
  </conditionalFormatting>
  <conditionalFormatting sqref="P2374:P2383">
    <cfRule type="duplicateValues" dxfId="11" priority="14"/>
  </conditionalFormatting>
  <conditionalFormatting sqref="R2416">
    <cfRule type="duplicateValues" dxfId="10" priority="7"/>
  </conditionalFormatting>
  <conditionalFormatting sqref="P2413:P2415 P2417:P2424">
    <cfRule type="duplicateValues" dxfId="9" priority="8"/>
  </conditionalFormatting>
  <conditionalFormatting sqref="P2425:P2428 P2412">
    <cfRule type="duplicateValues" dxfId="8" priority="208"/>
  </conditionalFormatting>
  <conditionalFormatting sqref="P227:P230 P232:P240">
    <cfRule type="duplicateValues" dxfId="7" priority="5"/>
  </conditionalFormatting>
  <conditionalFormatting sqref="R231">
    <cfRule type="duplicateValues" dxfId="6" priority="4"/>
  </conditionalFormatting>
  <conditionalFormatting sqref="R246">
    <cfRule type="duplicateValues" dxfId="5" priority="3"/>
  </conditionalFormatting>
  <conditionalFormatting sqref="P242:P245 P247:P251">
    <cfRule type="duplicateValues" dxfId="4" priority="6"/>
  </conditionalFormatting>
  <conditionalFormatting sqref="R258">
    <cfRule type="duplicateValues" dxfId="3" priority="1"/>
  </conditionalFormatting>
  <conditionalFormatting sqref="P254:P257 P259:P266">
    <cfRule type="duplicateValues" dxfId="2" priority="2"/>
  </conditionalFormatting>
  <conditionalFormatting sqref="P4047:P4058 P4009 P4012:P4013">
    <cfRule type="duplicateValues" dxfId="1" priority="212"/>
  </conditionalFormatting>
  <pageMargins left="0.5" right="0.5" top="0.55000000000000004" bottom="0.5" header="0.05" footer="0.3"/>
  <pageSetup scale="69" fitToHeight="0" orientation="landscape" r:id="rId1"/>
  <headerFooter differentFirst="1">
    <oddFooter>&amp;C&amp;P</oddFooter>
  </headerFooter>
  <rowBreaks count="27" manualBreakCount="27">
    <brk id="122" max="16383" man="1"/>
    <brk id="373" max="16383" man="1"/>
    <brk id="434" max="16383" man="1"/>
    <brk id="577" max="16383" man="1"/>
    <brk id="643" max="16383" man="1"/>
    <brk id="728" max="16383" man="1"/>
    <brk id="857" max="16383" man="1"/>
    <brk id="1519" max="16383" man="1"/>
    <brk id="1704" max="16383" man="1"/>
    <brk id="1917" max="16383" man="1"/>
    <brk id="1988" max="16383" man="1"/>
    <brk id="2749" max="16383" man="1"/>
    <brk id="2810" max="16383" man="1"/>
    <brk id="3019" max="16383" man="1"/>
    <brk id="3068" max="16383" man="1"/>
    <brk id="3147" max="16383" man="1"/>
    <brk id="3240" max="16383" man="1"/>
    <brk id="3317" max="16383" man="1"/>
    <brk id="3455" max="16383" man="1"/>
    <brk id="3674" max="16383" man="1"/>
    <brk id="3756" max="16383" man="1"/>
    <brk id="3896" max="16383" man="1"/>
    <brk id="4011" max="16383" man="1"/>
    <brk id="4458" max="16383" man="1"/>
    <brk id="4575" max="16383" man="1"/>
    <brk id="4628" max="16383" man="1"/>
    <brk id="4702" max="16383" man="1"/>
  </rowBreaks>
  <drawing r:id="rId2"/>
  <legacyDrawing r:id="rId3"/>
  <oleObjects>
    <mc:AlternateContent xmlns:mc="http://schemas.openxmlformats.org/markup-compatibility/2006">
      <mc:Choice Requires="x14">
        <oleObject progId="Acrobat Document" dvAspect="DVASPECT_ICON" shapeId="3073" r:id="rId4">
          <objectPr defaultSize="0" autoPict="0" altText="FAC 1511 Study" r:id="rId5">
            <anchor moveWithCells="1">
              <from>
                <xdr:col>0</xdr:col>
                <xdr:colOff>152400</xdr:colOff>
                <xdr:row>675</xdr:row>
                <xdr:rowOff>152400</xdr:rowOff>
              </from>
              <to>
                <xdr:col>1</xdr:col>
                <xdr:colOff>152400</xdr:colOff>
                <xdr:row>677</xdr:row>
                <xdr:rowOff>238125</xdr:rowOff>
              </to>
            </anchor>
          </objectPr>
        </oleObject>
      </mc:Choice>
      <mc:Fallback>
        <oleObject progId="Acrobat Document" dvAspect="DVASPECT_ICON" shapeId="3073" r:id="rId4"/>
      </mc:Fallback>
    </mc:AlternateContent>
    <mc:AlternateContent xmlns:mc="http://schemas.openxmlformats.org/markup-compatibility/2006">
      <mc:Choice Requires="x14">
        <oleObject progId="Acrobat Document" dvAspect="DVASPECT_ICON" shapeId="3074" r:id="rId6">
          <objectPr defaultSize="0" autoPict="0" altText="FAC 1511 Study" r:id="rId5">
            <anchor moveWithCells="1">
              <from>
                <xdr:col>0</xdr:col>
                <xdr:colOff>152400</xdr:colOff>
                <xdr:row>684</xdr:row>
                <xdr:rowOff>152400</xdr:rowOff>
              </from>
              <to>
                <xdr:col>1</xdr:col>
                <xdr:colOff>152400</xdr:colOff>
                <xdr:row>686</xdr:row>
                <xdr:rowOff>238125</xdr:rowOff>
              </to>
            </anchor>
          </objectPr>
        </oleObject>
      </mc:Choice>
      <mc:Fallback>
        <oleObject progId="Acrobat Document" dvAspect="DVASPECT_ICON" shapeId="3074" r:id="rId6"/>
      </mc:Fallback>
    </mc:AlternateContent>
    <mc:AlternateContent xmlns:mc="http://schemas.openxmlformats.org/markup-compatibility/2006">
      <mc:Choice Requires="x14">
        <oleObject progId="Acrobat Document" dvAspect="DVASPECT_ICON" shapeId="3075" r:id="rId7">
          <objectPr defaultSize="0" r:id="rId8">
            <anchor moveWithCells="1">
              <from>
                <xdr:col>0</xdr:col>
                <xdr:colOff>495300</xdr:colOff>
                <xdr:row>1627</xdr:row>
                <xdr:rowOff>257175</xdr:rowOff>
              </from>
              <to>
                <xdr:col>1</xdr:col>
                <xdr:colOff>495300</xdr:colOff>
                <xdr:row>1629</xdr:row>
                <xdr:rowOff>180975</xdr:rowOff>
              </to>
            </anchor>
          </objectPr>
        </oleObject>
      </mc:Choice>
      <mc:Fallback>
        <oleObject progId="Acrobat Document" dvAspect="DVASPECT_ICON" shapeId="3075" r:id="rId7"/>
      </mc:Fallback>
    </mc:AlternateContent>
    <mc:AlternateContent xmlns:mc="http://schemas.openxmlformats.org/markup-compatibility/2006">
      <mc:Choice Requires="x14">
        <oleObject progId="Acrobat Document" dvAspect="DVASPECT_ICON" shapeId="3076" r:id="rId9">
          <objectPr defaultSize="0" r:id="rId10">
            <anchor moveWithCells="1">
              <from>
                <xdr:col>2</xdr:col>
                <xdr:colOff>485775</xdr:colOff>
                <xdr:row>4841</xdr:row>
                <xdr:rowOff>38100</xdr:rowOff>
              </from>
              <to>
                <xdr:col>3</xdr:col>
                <xdr:colOff>790575</xdr:colOff>
                <xdr:row>4842</xdr:row>
                <xdr:rowOff>342900</xdr:rowOff>
              </to>
            </anchor>
          </objectPr>
        </oleObject>
      </mc:Choice>
      <mc:Fallback>
        <oleObject progId="Acrobat Document" dvAspect="DVASPECT_ICON" shapeId="3076" r:id="rId9"/>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EA0F1-4A58-4C9E-AA8E-5D79C7FC1B5B}">
  <sheetPr>
    <pageSetUpPr fitToPage="1"/>
  </sheetPr>
  <dimension ref="A1:S24"/>
  <sheetViews>
    <sheetView zoomScaleNormal="100" workbookViewId="0">
      <selection activeCell="F16" sqref="F16"/>
    </sheetView>
  </sheetViews>
  <sheetFormatPr defaultRowHeight="15" x14ac:dyDescent="0.25"/>
  <cols>
    <col min="1" max="1" width="27.140625" style="879" customWidth="1"/>
    <col min="2" max="2" width="12" style="879" customWidth="1"/>
    <col min="3" max="3" width="11.42578125" style="879" customWidth="1"/>
    <col min="4" max="4" width="16.5703125" style="879" customWidth="1"/>
    <col min="5" max="5" width="15.42578125" style="879" customWidth="1"/>
    <col min="6" max="6" width="23.5703125" style="879" customWidth="1"/>
    <col min="7" max="7" width="19.7109375" style="879" customWidth="1"/>
    <col min="8" max="8" width="14" style="879" customWidth="1"/>
    <col min="9" max="9" width="15.42578125" style="879" customWidth="1"/>
    <col min="10" max="10" width="16.28515625" style="879" customWidth="1"/>
    <col min="11" max="16384" width="9.140625" style="879"/>
  </cols>
  <sheetData>
    <row r="1" spans="1:19" ht="30" customHeight="1" x14ac:dyDescent="0.25">
      <c r="A1" s="1781" t="s">
        <v>3019</v>
      </c>
      <c r="B1" s="1782"/>
      <c r="C1" s="1782"/>
      <c r="D1" s="1782"/>
      <c r="E1" s="1782"/>
      <c r="F1" s="1783"/>
      <c r="M1" s="1446"/>
      <c r="O1" s="1784"/>
      <c r="P1" s="1446"/>
      <c r="S1" s="1785"/>
    </row>
    <row r="2" spans="1:19" s="1790" customFormat="1" ht="80.25" customHeight="1" x14ac:dyDescent="0.25">
      <c r="A2" s="1786" t="s">
        <v>3238</v>
      </c>
      <c r="B2" s="562"/>
      <c r="C2" s="562"/>
      <c r="D2" s="562"/>
      <c r="E2" s="562"/>
      <c r="F2" s="1787"/>
      <c r="G2" s="1788"/>
      <c r="H2" s="1788"/>
      <c r="I2" s="1788"/>
      <c r="J2" s="1788"/>
      <c r="K2" s="1789"/>
      <c r="M2" s="1446"/>
      <c r="O2" s="1784"/>
      <c r="P2" s="1446"/>
      <c r="S2" s="1785"/>
    </row>
    <row r="3" spans="1:19" ht="56.25" customHeight="1" x14ac:dyDescent="0.25">
      <c r="A3" s="1791" t="s">
        <v>3020</v>
      </c>
      <c r="B3" s="44" t="s">
        <v>3021</v>
      </c>
      <c r="C3" s="44" t="s">
        <v>3022</v>
      </c>
      <c r="D3" s="44" t="s">
        <v>3023</v>
      </c>
      <c r="E3" s="44" t="s">
        <v>3024</v>
      </c>
      <c r="F3" s="1792" t="s">
        <v>3025</v>
      </c>
      <c r="G3" s="1793"/>
      <c r="H3" s="1793"/>
      <c r="I3" s="801"/>
      <c r="J3" s="661"/>
      <c r="L3" s="1446"/>
      <c r="N3" s="1784"/>
      <c r="O3" s="1446"/>
      <c r="R3" s="1785"/>
    </row>
    <row r="4" spans="1:19" ht="30" customHeight="1" x14ac:dyDescent="0.25">
      <c r="A4" s="1794"/>
      <c r="B4" s="1795">
        <v>39356</v>
      </c>
      <c r="C4" s="631">
        <v>2008</v>
      </c>
      <c r="D4" s="1796">
        <v>100</v>
      </c>
      <c r="E4" s="631"/>
      <c r="F4" s="1797">
        <f>+$D$14/D4</f>
        <v>1.2231999999999998</v>
      </c>
      <c r="G4" s="1436"/>
      <c r="H4" s="1436"/>
      <c r="I4" s="801"/>
      <c r="J4" s="661"/>
      <c r="L4" s="1446"/>
      <c r="N4" s="1784"/>
      <c r="O4" s="1446"/>
      <c r="R4" s="1785"/>
    </row>
    <row r="5" spans="1:19" ht="30" customHeight="1" x14ac:dyDescent="0.25">
      <c r="A5" s="1794"/>
      <c r="B5" s="1795">
        <v>39722</v>
      </c>
      <c r="C5" s="631">
        <v>2009</v>
      </c>
      <c r="D5" s="631">
        <v>104.89</v>
      </c>
      <c r="E5" s="631"/>
      <c r="F5" s="1797">
        <f t="shared" ref="F5:F13" si="0">+$D$14/D5</f>
        <v>1.1661740871389072</v>
      </c>
      <c r="G5" s="1793"/>
      <c r="H5" s="1793"/>
      <c r="I5" s="801"/>
      <c r="J5" s="661"/>
      <c r="L5" s="1446"/>
      <c r="N5" s="1784"/>
      <c r="O5" s="1446"/>
      <c r="R5" s="1785"/>
    </row>
    <row r="6" spans="1:19" ht="30" customHeight="1" x14ac:dyDescent="0.25">
      <c r="A6" s="1794"/>
      <c r="B6" s="1795">
        <v>40087</v>
      </c>
      <c r="C6" s="631">
        <v>2010</v>
      </c>
      <c r="D6" s="631">
        <v>98.32</v>
      </c>
      <c r="E6" s="631"/>
      <c r="F6" s="1797">
        <f t="shared" si="0"/>
        <v>1.2441008950366153</v>
      </c>
      <c r="G6" s="1793"/>
      <c r="H6" s="1793"/>
      <c r="I6" s="801"/>
      <c r="J6" s="661"/>
      <c r="L6" s="1446"/>
      <c r="N6" s="1784"/>
      <c r="O6" s="1446"/>
      <c r="R6" s="1785"/>
    </row>
    <row r="7" spans="1:19" ht="30" customHeight="1" x14ac:dyDescent="0.25">
      <c r="A7" s="1794"/>
      <c r="B7" s="1795">
        <v>40452</v>
      </c>
      <c r="C7" s="631">
        <v>2011</v>
      </c>
      <c r="D7" s="631">
        <v>96.83</v>
      </c>
      <c r="E7" s="631"/>
      <c r="F7" s="1797">
        <f t="shared" si="0"/>
        <v>1.2632448621295054</v>
      </c>
      <c r="G7" s="1793"/>
      <c r="H7" s="1793"/>
      <c r="I7" s="801"/>
      <c r="J7" s="661"/>
      <c r="L7" s="1446"/>
      <c r="N7" s="1784"/>
      <c r="O7" s="1446"/>
      <c r="R7" s="1785"/>
    </row>
    <row r="8" spans="1:19" ht="30" customHeight="1" x14ac:dyDescent="0.25">
      <c r="A8" s="1798" t="s">
        <v>3026</v>
      </c>
      <c r="B8" s="1795">
        <v>40817</v>
      </c>
      <c r="C8" s="61">
        <v>2012</v>
      </c>
      <c r="D8" s="1683">
        <v>99.3</v>
      </c>
      <c r="E8" s="61"/>
      <c r="F8" s="1797">
        <f t="shared" si="0"/>
        <v>1.2318227593152065</v>
      </c>
      <c r="G8" s="1799"/>
      <c r="H8" s="1800"/>
      <c r="M8" s="1801"/>
    </row>
    <row r="9" spans="1:19" ht="30" customHeight="1" x14ac:dyDescent="0.25">
      <c r="A9" s="1798" t="s">
        <v>3027</v>
      </c>
      <c r="B9" s="1795">
        <v>41183</v>
      </c>
      <c r="C9" s="61">
        <v>2013</v>
      </c>
      <c r="D9" s="1683">
        <v>101.04</v>
      </c>
      <c r="E9" s="61"/>
      <c r="F9" s="1797">
        <f t="shared" si="0"/>
        <v>1.2106096595407758</v>
      </c>
      <c r="G9" s="1799"/>
      <c r="H9" s="1800"/>
      <c r="M9" s="1801"/>
    </row>
    <row r="10" spans="1:19" ht="30" customHeight="1" x14ac:dyDescent="0.25">
      <c r="A10" s="1798" t="s">
        <v>3028</v>
      </c>
      <c r="B10" s="1795">
        <v>41548</v>
      </c>
      <c r="C10" s="61">
        <v>2014</v>
      </c>
      <c r="D10" s="1683">
        <v>104.62</v>
      </c>
      <c r="E10" s="61"/>
      <c r="F10" s="1797">
        <f t="shared" si="0"/>
        <v>1.1691837124832727</v>
      </c>
      <c r="G10" s="1799"/>
      <c r="H10" s="1800"/>
      <c r="M10" s="1801"/>
    </row>
    <row r="11" spans="1:19" ht="30" customHeight="1" x14ac:dyDescent="0.25">
      <c r="A11" s="1798" t="s">
        <v>3029</v>
      </c>
      <c r="B11" s="1795">
        <v>41913</v>
      </c>
      <c r="C11" s="61">
        <v>2015</v>
      </c>
      <c r="D11" s="1683">
        <v>108.88</v>
      </c>
      <c r="E11" s="61"/>
      <c r="F11" s="1797">
        <f t="shared" si="0"/>
        <v>1.1234386480529022</v>
      </c>
      <c r="G11" s="1799"/>
      <c r="H11" s="1800"/>
      <c r="M11" s="1801"/>
    </row>
    <row r="12" spans="1:19" ht="30" customHeight="1" x14ac:dyDescent="0.25">
      <c r="A12" s="1798" t="s">
        <v>3030</v>
      </c>
      <c r="B12" s="1795">
        <v>42278</v>
      </c>
      <c r="C12" s="61">
        <v>2016</v>
      </c>
      <c r="D12" s="1683">
        <v>113.31</v>
      </c>
      <c r="E12" s="61"/>
      <c r="F12" s="1797">
        <f t="shared" si="0"/>
        <v>1.0795163710175624</v>
      </c>
      <c r="G12" s="1799"/>
      <c r="H12" s="1800"/>
      <c r="M12" s="1801"/>
    </row>
    <row r="13" spans="1:19" ht="30" customHeight="1" x14ac:dyDescent="0.25">
      <c r="A13" s="1798" t="s">
        <v>3031</v>
      </c>
      <c r="B13" s="1795">
        <v>42644</v>
      </c>
      <c r="C13" s="61">
        <v>2017</v>
      </c>
      <c r="D13" s="1683">
        <v>117.64</v>
      </c>
      <c r="E13" s="63"/>
      <c r="F13" s="1797">
        <f t="shared" si="0"/>
        <v>1.0397823869432166</v>
      </c>
      <c r="G13" s="1799"/>
      <c r="H13" s="1800"/>
      <c r="M13" s="1801"/>
    </row>
    <row r="14" spans="1:19" ht="30" customHeight="1" x14ac:dyDescent="0.25">
      <c r="A14" s="1798" t="s">
        <v>3032</v>
      </c>
      <c r="B14" s="1802">
        <v>43009</v>
      </c>
      <c r="C14" s="48">
        <v>2018</v>
      </c>
      <c r="D14" s="1803">
        <v>122.32</v>
      </c>
      <c r="E14" s="1804">
        <v>1</v>
      </c>
      <c r="F14" s="1805">
        <f>+$D$14/D14</f>
        <v>1</v>
      </c>
      <c r="G14" s="1800"/>
      <c r="H14" s="1800"/>
      <c r="I14" s="1800"/>
      <c r="M14" s="1801"/>
    </row>
    <row r="15" spans="1:19" ht="30" customHeight="1" x14ac:dyDescent="0.25">
      <c r="A15" s="1798" t="s">
        <v>3033</v>
      </c>
      <c r="B15" s="1795">
        <v>43374</v>
      </c>
      <c r="C15" s="61">
        <v>2019</v>
      </c>
      <c r="D15" s="1683"/>
      <c r="E15" s="1806">
        <v>1.0189999999999999</v>
      </c>
      <c r="F15" s="1797">
        <f>1/(E14*E15)</f>
        <v>0.9813542688910698</v>
      </c>
      <c r="G15" s="1800"/>
      <c r="H15" s="1800"/>
      <c r="I15" s="1800"/>
      <c r="M15" s="1801"/>
    </row>
    <row r="16" spans="1:19" ht="30" customHeight="1" x14ac:dyDescent="0.25">
      <c r="A16" s="1798" t="s">
        <v>3034</v>
      </c>
      <c r="B16" s="1807">
        <v>43739</v>
      </c>
      <c r="C16" s="61">
        <v>2020</v>
      </c>
      <c r="D16" s="63"/>
      <c r="E16" s="1806">
        <v>1.02</v>
      </c>
      <c r="F16" s="1797">
        <f>1/(E14*E15*E16)</f>
        <v>0.96211202832457809</v>
      </c>
      <c r="G16" s="1800"/>
      <c r="H16" s="1800"/>
      <c r="I16" s="1800"/>
      <c r="K16" s="1801"/>
    </row>
    <row r="17" spans="1:14" ht="30" customHeight="1" x14ac:dyDescent="0.25">
      <c r="A17" s="1808" t="s">
        <v>3035</v>
      </c>
      <c r="B17" s="1807">
        <v>44105</v>
      </c>
      <c r="C17" s="61">
        <v>2021</v>
      </c>
      <c r="D17" s="63"/>
      <c r="E17" s="1806">
        <v>1.02</v>
      </c>
      <c r="F17" s="1797">
        <f>1/(E14*E15*E16*E17)</f>
        <v>0.9432470865927236</v>
      </c>
      <c r="N17" s="1801"/>
    </row>
    <row r="18" spans="1:14" ht="30" customHeight="1" x14ac:dyDescent="0.25">
      <c r="A18" s="1809"/>
      <c r="B18" s="70"/>
      <c r="C18" s="68">
        <v>2022</v>
      </c>
      <c r="D18" s="70"/>
      <c r="E18" s="1810">
        <v>1.02</v>
      </c>
      <c r="F18" s="1811">
        <f>1/(E14*E15*E16*E17*E18)</f>
        <v>0.92475204567914071</v>
      </c>
      <c r="N18" s="1801"/>
    </row>
    <row r="19" spans="1:14" ht="30" customHeight="1" x14ac:dyDescent="0.25">
      <c r="A19" s="410"/>
      <c r="B19" s="63"/>
      <c r="C19" s="61">
        <v>2023</v>
      </c>
      <c r="D19" s="63"/>
      <c r="E19" s="1806">
        <v>1.02</v>
      </c>
      <c r="F19" s="1811">
        <f>1/(E14*E15*E16*E17*E18*E19)</f>
        <v>0.90661965262660849</v>
      </c>
      <c r="N19" s="1801"/>
    </row>
    <row r="20" spans="1:14" ht="12.75" customHeight="1" thickBot="1" x14ac:dyDescent="0.3">
      <c r="A20" s="1812"/>
      <c r="B20" s="1813"/>
      <c r="C20" s="1814"/>
      <c r="D20" s="1813"/>
      <c r="E20" s="1815"/>
      <c r="F20" s="1816"/>
      <c r="N20" s="1801"/>
    </row>
    <row r="21" spans="1:14" x14ac:dyDescent="0.25">
      <c r="A21" s="1817" t="s">
        <v>3036</v>
      </c>
      <c r="B21" s="1818"/>
      <c r="C21" s="1818"/>
      <c r="D21" s="1818"/>
      <c r="E21" s="1818"/>
      <c r="F21" s="1819"/>
    </row>
    <row r="22" spans="1:14" ht="27" customHeight="1" x14ac:dyDescent="0.25">
      <c r="A22" s="1685" t="s">
        <v>3037</v>
      </c>
      <c r="B22" s="1686"/>
      <c r="C22" s="1686"/>
      <c r="D22" s="1686"/>
      <c r="E22" s="1686"/>
      <c r="F22" s="1687"/>
      <c r="G22" s="1688"/>
    </row>
    <row r="23" spans="1:14" ht="108" customHeight="1" x14ac:dyDescent="0.25">
      <c r="A23" s="1689" t="s">
        <v>3038</v>
      </c>
      <c r="B23" s="1690"/>
      <c r="C23" s="1690"/>
      <c r="D23" s="1690"/>
      <c r="E23" s="1690"/>
      <c r="F23" s="1691"/>
      <c r="G23" s="1688"/>
    </row>
    <row r="24" spans="1:14" ht="33" customHeight="1" thickBot="1" x14ac:dyDescent="0.3">
      <c r="A24" s="1692" t="s">
        <v>3039</v>
      </c>
      <c r="B24" s="1693"/>
      <c r="C24" s="1693"/>
      <c r="D24" s="1693"/>
      <c r="E24" s="1693"/>
      <c r="F24" s="1694"/>
      <c r="G24" s="1688"/>
    </row>
  </sheetData>
  <mergeCells count="6">
    <mergeCell ref="A1:F1"/>
    <mergeCell ref="A2:F2"/>
    <mergeCell ref="A21:F21"/>
    <mergeCell ref="A22:F22"/>
    <mergeCell ref="A23:F23"/>
    <mergeCell ref="A24:F24"/>
  </mergeCells>
  <pageMargins left="0.7" right="0.7" top="0.75" bottom="0.75" header="0.3" footer="0.3"/>
  <pageSetup scale="83"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2019-21B5-4A88-8F84-E71C43BA36F8}">
  <sheetPr>
    <pageSetUpPr fitToPage="1"/>
  </sheetPr>
  <dimension ref="A1:IM533"/>
  <sheetViews>
    <sheetView workbookViewId="0">
      <pane ySplit="3" topLeftCell="A4" activePane="bottomLeft" state="frozen"/>
      <selection activeCell="G11" sqref="G11"/>
      <selection pane="bottomLeft" activeCell="B13" sqref="B13"/>
    </sheetView>
  </sheetViews>
  <sheetFormatPr defaultRowHeight="15" x14ac:dyDescent="0.25"/>
  <cols>
    <col min="1" max="1" width="5.28515625" customWidth="1"/>
    <col min="2" max="2" width="56.85546875" bestFit="1" customWidth="1"/>
    <col min="3" max="3" width="8.85546875" customWidth="1"/>
    <col min="4" max="4" width="9.85546875" customWidth="1"/>
    <col min="5" max="5" width="11.140625" customWidth="1"/>
    <col min="6" max="6" width="11.7109375" customWidth="1"/>
    <col min="7" max="8" width="11.140625" customWidth="1"/>
    <col min="9" max="9" width="9.7109375" customWidth="1"/>
    <col min="10" max="10" width="9.42578125" customWidth="1"/>
    <col min="11" max="11" width="10.42578125" customWidth="1"/>
    <col min="12" max="12" width="10" customWidth="1"/>
    <col min="13" max="13" width="9.85546875" customWidth="1"/>
    <col min="14" max="14" width="9.140625" customWidth="1"/>
    <col min="15" max="15" width="14.85546875" customWidth="1"/>
    <col min="16" max="16" width="13.5703125" customWidth="1"/>
    <col min="17" max="17" width="12.7109375" style="128" customWidth="1"/>
    <col min="18" max="18" width="12.28515625" style="1735" customWidth="1"/>
    <col min="45" max="45" width="9.140625" style="1736"/>
    <col min="228" max="228" width="5.7109375" customWidth="1"/>
    <col min="229" max="229" width="42.85546875" customWidth="1"/>
    <col min="230" max="230" width="3.42578125" customWidth="1"/>
    <col min="231" max="232" width="15.7109375" customWidth="1"/>
    <col min="233" max="233" width="6.5703125" customWidth="1"/>
    <col min="234" max="234" width="92" customWidth="1"/>
  </cols>
  <sheetData>
    <row r="1" spans="1:247" ht="26.25" customHeight="1" thickBot="1" x14ac:dyDescent="0.35">
      <c r="A1" s="1695" t="s">
        <v>3040</v>
      </c>
      <c r="B1" s="1695"/>
      <c r="C1" s="1695"/>
      <c r="D1" s="1696"/>
      <c r="E1" s="1697" t="s">
        <v>3041</v>
      </c>
      <c r="F1" s="1698"/>
      <c r="G1" s="1699"/>
      <c r="H1" s="1700" t="s">
        <v>3042</v>
      </c>
      <c r="I1" s="1701"/>
      <c r="J1" s="1701"/>
      <c r="K1" s="1701"/>
      <c r="L1" s="1701"/>
      <c r="M1" s="1701"/>
      <c r="N1" s="1701"/>
      <c r="O1" s="1702" t="s">
        <v>3043</v>
      </c>
      <c r="P1" s="1703" t="s">
        <v>3044</v>
      </c>
      <c r="Q1" s="1699"/>
      <c r="R1" s="1704"/>
      <c r="AS1"/>
    </row>
    <row r="2" spans="1:247" ht="72.75" customHeight="1" x14ac:dyDescent="0.25">
      <c r="A2" s="1695"/>
      <c r="B2" s="1695"/>
      <c r="C2" s="1695"/>
      <c r="D2" s="1696"/>
      <c r="E2" s="1705" t="s">
        <v>3045</v>
      </c>
      <c r="F2" s="424" t="s">
        <v>3046</v>
      </c>
      <c r="G2" s="1682" t="s">
        <v>3047</v>
      </c>
      <c r="H2" s="1706" t="s">
        <v>3048</v>
      </c>
      <c r="I2" s="424" t="s">
        <v>3049</v>
      </c>
      <c r="J2" s="424" t="s">
        <v>3050</v>
      </c>
      <c r="K2" s="424" t="s">
        <v>3051</v>
      </c>
      <c r="L2" s="424" t="s">
        <v>3052</v>
      </c>
      <c r="M2" s="424" t="s">
        <v>3053</v>
      </c>
      <c r="N2" s="1707" t="s">
        <v>3054</v>
      </c>
      <c r="O2" s="1708" t="s">
        <v>3055</v>
      </c>
      <c r="P2" s="1706" t="s">
        <v>3056</v>
      </c>
      <c r="Q2" s="1682" t="s">
        <v>3057</v>
      </c>
      <c r="R2" s="1709" t="s">
        <v>3058</v>
      </c>
      <c r="S2" s="1710"/>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row>
    <row r="3" spans="1:247" ht="48.75" customHeight="1" thickBot="1" x14ac:dyDescent="0.3">
      <c r="A3" s="1711" t="s">
        <v>0</v>
      </c>
      <c r="B3" s="1712" t="s">
        <v>1</v>
      </c>
      <c r="C3" s="1713" t="s">
        <v>2</v>
      </c>
      <c r="D3" s="1714" t="s">
        <v>3059</v>
      </c>
      <c r="E3" s="1715">
        <v>1.0740000000000001</v>
      </c>
      <c r="F3" s="1716">
        <v>1.0209999999999999</v>
      </c>
      <c r="G3" s="1714">
        <v>1.0269999999999999</v>
      </c>
      <c r="H3" s="1715">
        <v>1.0029999999999999</v>
      </c>
      <c r="I3" s="2">
        <v>1.0289999999999999</v>
      </c>
      <c r="J3" s="2">
        <v>1.0049999999999999</v>
      </c>
      <c r="K3" s="1717">
        <v>1.026</v>
      </c>
      <c r="L3" s="2">
        <v>1.0129999999999999</v>
      </c>
      <c r="M3" s="2">
        <v>1.0029999999999999</v>
      </c>
      <c r="N3" s="1714">
        <v>1.0029999999999999</v>
      </c>
      <c r="O3" s="1718">
        <v>1.0209999999999999</v>
      </c>
      <c r="P3" s="1715">
        <v>1.032</v>
      </c>
      <c r="Q3" s="1714">
        <v>1.0349999999999999</v>
      </c>
      <c r="R3" s="1719"/>
      <c r="S3" s="1720"/>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row>
    <row r="4" spans="1:247" x14ac:dyDescent="0.25">
      <c r="A4" s="4">
        <v>1321</v>
      </c>
      <c r="B4" s="9" t="s">
        <v>10</v>
      </c>
      <c r="C4" s="10" t="s">
        <v>11</v>
      </c>
      <c r="D4" s="1721" t="s">
        <v>3060</v>
      </c>
      <c r="E4" s="1722"/>
      <c r="F4" s="1723">
        <f t="shared" ref="F4:F128" si="0">+$F$3</f>
        <v>1.0209999999999999</v>
      </c>
      <c r="G4" s="1724"/>
      <c r="H4" s="1722"/>
      <c r="I4" s="1723"/>
      <c r="J4" s="1723"/>
      <c r="K4" s="1723"/>
      <c r="L4" s="1723"/>
      <c r="M4" s="1723"/>
      <c r="N4" s="1725"/>
      <c r="O4" s="1726"/>
      <c r="P4" s="1722"/>
      <c r="Q4" s="1725"/>
      <c r="R4" s="1727">
        <f t="shared" ref="R4:R128" si="1">PRODUCT(E4:Q4)</f>
        <v>1.0209999999999999</v>
      </c>
      <c r="S4" s="1"/>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row>
    <row r="5" spans="1:247" x14ac:dyDescent="0.25">
      <c r="A5" s="4">
        <v>1341</v>
      </c>
      <c r="B5" s="9" t="s">
        <v>12</v>
      </c>
      <c r="C5" s="10" t="s">
        <v>11</v>
      </c>
      <c r="D5" s="1721" t="s">
        <v>3060</v>
      </c>
      <c r="E5" s="1728"/>
      <c r="F5" s="1723">
        <f t="shared" si="0"/>
        <v>1.0209999999999999</v>
      </c>
      <c r="G5" s="1729"/>
      <c r="H5" s="1728"/>
      <c r="I5" s="1730"/>
      <c r="J5" s="1730"/>
      <c r="K5" s="1730"/>
      <c r="L5" s="1730"/>
      <c r="M5" s="1730"/>
      <c r="N5" s="1729"/>
      <c r="O5" s="1731"/>
      <c r="P5" s="1728"/>
      <c r="Q5" s="1729"/>
      <c r="R5" s="1732">
        <f t="shared" si="1"/>
        <v>1.0209999999999999</v>
      </c>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row>
    <row r="6" spans="1:247" x14ac:dyDescent="0.25">
      <c r="A6" s="4">
        <v>1351</v>
      </c>
      <c r="B6" s="9" t="s">
        <v>13</v>
      </c>
      <c r="C6" s="10" t="s">
        <v>14</v>
      </c>
      <c r="D6" s="1721" t="s">
        <v>3061</v>
      </c>
      <c r="E6" s="1728"/>
      <c r="F6" s="1723">
        <f t="shared" si="0"/>
        <v>1.0209999999999999</v>
      </c>
      <c r="G6" s="1729"/>
      <c r="H6" s="1728"/>
      <c r="I6" s="1730"/>
      <c r="J6" s="1730"/>
      <c r="K6" s="1730"/>
      <c r="L6" s="1730"/>
      <c r="M6" s="1730"/>
      <c r="N6" s="1729"/>
      <c r="O6" s="1731"/>
      <c r="P6" s="1728"/>
      <c r="Q6" s="1729"/>
      <c r="R6" s="1732">
        <f t="shared" si="1"/>
        <v>1.0209999999999999</v>
      </c>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row>
    <row r="7" spans="1:247" x14ac:dyDescent="0.25">
      <c r="A7" s="4">
        <v>1362</v>
      </c>
      <c r="B7" s="9" t="s">
        <v>15</v>
      </c>
      <c r="C7" s="10" t="s">
        <v>11</v>
      </c>
      <c r="D7" s="1721" t="s">
        <v>3060</v>
      </c>
      <c r="E7" s="1728"/>
      <c r="F7" s="1723">
        <f t="shared" si="0"/>
        <v>1.0209999999999999</v>
      </c>
      <c r="G7" s="1729"/>
      <c r="H7" s="1728"/>
      <c r="I7" s="1730"/>
      <c r="J7" s="1730"/>
      <c r="K7" s="1730"/>
      <c r="L7" s="1730"/>
      <c r="M7" s="1730"/>
      <c r="N7" s="1729"/>
      <c r="O7" s="1731"/>
      <c r="P7" s="1728"/>
      <c r="Q7" s="1729"/>
      <c r="R7" s="1732">
        <f t="shared" si="1"/>
        <v>1.0209999999999999</v>
      </c>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row>
    <row r="8" spans="1:247" x14ac:dyDescent="0.25">
      <c r="A8" s="4">
        <v>1381</v>
      </c>
      <c r="B8" s="9" t="s">
        <v>16</v>
      </c>
      <c r="C8" s="10" t="s">
        <v>11</v>
      </c>
      <c r="D8" s="1721" t="s">
        <v>3060</v>
      </c>
      <c r="E8" s="1728"/>
      <c r="F8" s="1723">
        <f t="shared" si="0"/>
        <v>1.0209999999999999</v>
      </c>
      <c r="G8" s="1729"/>
      <c r="H8" s="1728"/>
      <c r="I8" s="1730"/>
      <c r="J8" s="1730"/>
      <c r="K8" s="1730"/>
      <c r="L8" s="1730"/>
      <c r="M8" s="1730"/>
      <c r="N8" s="1729"/>
      <c r="O8" s="1731"/>
      <c r="P8" s="1728"/>
      <c r="Q8" s="1729"/>
      <c r="R8" s="1732">
        <f t="shared" si="1"/>
        <v>1.0209999999999999</v>
      </c>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row>
    <row r="9" spans="1:247" x14ac:dyDescent="0.25">
      <c r="A9" s="4">
        <v>1422</v>
      </c>
      <c r="B9" s="9" t="s">
        <v>17</v>
      </c>
      <c r="C9" s="10" t="s">
        <v>11</v>
      </c>
      <c r="D9" s="1721" t="s">
        <v>3060</v>
      </c>
      <c r="E9" s="1728"/>
      <c r="F9" s="1723">
        <f t="shared" si="0"/>
        <v>1.0209999999999999</v>
      </c>
      <c r="G9" s="1729"/>
      <c r="H9" s="1728"/>
      <c r="I9" s="1730"/>
      <c r="J9" s="1730"/>
      <c r="K9" s="1730"/>
      <c r="L9" s="1730"/>
      <c r="M9" s="1730"/>
      <c r="N9" s="1729"/>
      <c r="O9" s="1731"/>
      <c r="P9" s="1728"/>
      <c r="Q9" s="1729"/>
      <c r="R9" s="1732">
        <f t="shared" si="1"/>
        <v>1.0209999999999999</v>
      </c>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c r="ED9" s="8"/>
      <c r="EE9" s="8"/>
      <c r="EF9" s="8"/>
      <c r="EG9" s="8"/>
      <c r="EH9" s="8"/>
      <c r="EI9" s="8"/>
      <c r="EJ9" s="8"/>
      <c r="EK9" s="8"/>
      <c r="EL9" s="8"/>
      <c r="EM9" s="8"/>
      <c r="EN9" s="8"/>
      <c r="EO9" s="8"/>
      <c r="EP9" s="8"/>
      <c r="EQ9" s="8"/>
      <c r="ER9" s="8"/>
      <c r="ES9" s="8"/>
      <c r="ET9" s="8"/>
      <c r="EU9" s="8"/>
      <c r="EV9" s="8"/>
      <c r="EW9" s="8"/>
      <c r="EX9" s="8"/>
      <c r="EY9" s="8"/>
      <c r="EZ9" s="8"/>
      <c r="FA9" s="8"/>
      <c r="FB9" s="8"/>
      <c r="FC9" s="8"/>
      <c r="FD9" s="8"/>
      <c r="FE9" s="8"/>
      <c r="FF9" s="8"/>
      <c r="FG9" s="8"/>
      <c r="FH9" s="8"/>
      <c r="FI9" s="8"/>
      <c r="FJ9" s="8"/>
      <c r="FK9" s="8"/>
      <c r="FL9" s="8"/>
      <c r="FM9" s="8"/>
      <c r="FN9" s="8"/>
      <c r="FO9" s="8"/>
      <c r="FP9" s="8"/>
      <c r="FQ9" s="8"/>
      <c r="FR9" s="8"/>
      <c r="FS9" s="8"/>
      <c r="FT9" s="8"/>
      <c r="FU9" s="8"/>
      <c r="FV9" s="8"/>
      <c r="FW9" s="8"/>
      <c r="FX9" s="8"/>
      <c r="FY9" s="8"/>
      <c r="FZ9" s="8"/>
      <c r="GA9" s="8"/>
      <c r="GB9" s="8"/>
      <c r="GC9" s="8"/>
      <c r="GD9" s="8"/>
      <c r="GE9" s="8"/>
      <c r="GF9" s="8"/>
      <c r="GG9" s="8"/>
      <c r="GH9" s="8"/>
      <c r="GI9" s="8"/>
      <c r="GJ9" s="8"/>
      <c r="GK9" s="8"/>
      <c r="GL9" s="8"/>
      <c r="GM9" s="8"/>
      <c r="GN9" s="8"/>
      <c r="GO9" s="8"/>
      <c r="GP9" s="8"/>
      <c r="GQ9" s="8"/>
      <c r="GR9" s="8"/>
      <c r="GS9" s="8"/>
      <c r="GT9" s="8"/>
      <c r="GU9" s="8"/>
      <c r="GV9" s="8"/>
      <c r="GW9" s="8"/>
      <c r="GX9" s="8"/>
      <c r="GY9" s="8"/>
      <c r="GZ9" s="8"/>
      <c r="HA9" s="8"/>
      <c r="HB9" s="8"/>
      <c r="HC9" s="8"/>
      <c r="HD9" s="8"/>
      <c r="HE9" s="8"/>
      <c r="HF9" s="8"/>
      <c r="HG9" s="8"/>
      <c r="HH9" s="8"/>
      <c r="HI9" s="8"/>
      <c r="HJ9" s="8"/>
      <c r="HK9" s="8"/>
      <c r="HL9" s="8"/>
      <c r="HM9" s="8"/>
      <c r="HN9" s="8"/>
      <c r="HO9" s="8"/>
      <c r="HP9" s="8"/>
      <c r="HQ9" s="8"/>
      <c r="HR9" s="8"/>
      <c r="HS9" s="8"/>
      <c r="HT9" s="8"/>
      <c r="HU9" s="8"/>
      <c r="HV9" s="8"/>
      <c r="HW9" s="8"/>
      <c r="HX9" s="8"/>
      <c r="HY9" s="8"/>
      <c r="HZ9" s="8"/>
      <c r="IA9" s="8"/>
      <c r="IB9" s="8"/>
      <c r="IC9" s="8"/>
      <c r="ID9" s="8"/>
      <c r="IE9" s="8"/>
      <c r="IF9" s="8"/>
      <c r="IG9" s="8"/>
      <c r="IH9" s="8"/>
      <c r="II9" s="8"/>
      <c r="IJ9" s="8"/>
      <c r="IK9" s="8"/>
      <c r="IL9" s="8"/>
      <c r="IM9" s="8"/>
    </row>
    <row r="10" spans="1:247" x14ac:dyDescent="0.25">
      <c r="A10" s="4">
        <v>1431</v>
      </c>
      <c r="B10" s="9" t="s">
        <v>18</v>
      </c>
      <c r="C10" s="10" t="s">
        <v>9</v>
      </c>
      <c r="D10" s="1721" t="s">
        <v>3062</v>
      </c>
      <c r="E10" s="1728">
        <f t="shared" ref="E10:E15" si="2">+$E$3</f>
        <v>1.0740000000000001</v>
      </c>
      <c r="F10" s="1723">
        <f t="shared" si="0"/>
        <v>1.0209999999999999</v>
      </c>
      <c r="G10" s="1729">
        <f t="shared" ref="G10:G16" si="3">+$G$3</f>
        <v>1.0269999999999999</v>
      </c>
      <c r="H10" s="1728">
        <f>+$H$3</f>
        <v>1.0029999999999999</v>
      </c>
      <c r="I10" s="1730">
        <f>+$I$3</f>
        <v>1.0289999999999999</v>
      </c>
      <c r="J10" s="1730">
        <f>+$J$3</f>
        <v>1.0049999999999999</v>
      </c>
      <c r="K10" s="1730">
        <f>+$K$3</f>
        <v>1.026</v>
      </c>
      <c r="L10" s="1730">
        <f>+$L$3</f>
        <v>1.0129999999999999</v>
      </c>
      <c r="M10" s="1730">
        <f>+$M$3</f>
        <v>1.0029999999999999</v>
      </c>
      <c r="N10" s="1729">
        <f>+$N$3</f>
        <v>1.0029999999999999</v>
      </c>
      <c r="O10" s="1731">
        <f>+$O$3</f>
        <v>1.0209999999999999</v>
      </c>
      <c r="P10" s="1728">
        <f t="shared" ref="P10:P16" si="4">+$P$3</f>
        <v>1.032</v>
      </c>
      <c r="Q10" s="1729">
        <f t="shared" ref="Q10:Q16" si="5">+$Q$3</f>
        <v>1.0349999999999999</v>
      </c>
      <c r="R10" s="1732">
        <f t="shared" si="1"/>
        <v>1.3319480854780448</v>
      </c>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row>
    <row r="11" spans="1:247" x14ac:dyDescent="0.25">
      <c r="A11" s="4">
        <v>1441</v>
      </c>
      <c r="B11" s="9" t="s">
        <v>19</v>
      </c>
      <c r="C11" s="10" t="s">
        <v>9</v>
      </c>
      <c r="D11" s="1721" t="s">
        <v>3062</v>
      </c>
      <c r="E11" s="1728">
        <f t="shared" si="2"/>
        <v>1.0740000000000001</v>
      </c>
      <c r="F11" s="1723">
        <f t="shared" si="0"/>
        <v>1.0209999999999999</v>
      </c>
      <c r="G11" s="1729">
        <f t="shared" si="3"/>
        <v>1.0269999999999999</v>
      </c>
      <c r="H11" s="1728">
        <f>+$H$3</f>
        <v>1.0029999999999999</v>
      </c>
      <c r="I11" s="1730">
        <f>+$I$3</f>
        <v>1.0289999999999999</v>
      </c>
      <c r="J11" s="1730">
        <f>+$J$3</f>
        <v>1.0049999999999999</v>
      </c>
      <c r="K11" s="1730">
        <f>+$K$3</f>
        <v>1.026</v>
      </c>
      <c r="L11" s="1730">
        <f>+$L$3</f>
        <v>1.0129999999999999</v>
      </c>
      <c r="M11" s="1730">
        <f>+$M$3</f>
        <v>1.0029999999999999</v>
      </c>
      <c r="N11" s="1729">
        <f>+$N$3</f>
        <v>1.0029999999999999</v>
      </c>
      <c r="O11" s="1731">
        <f>+$O$3</f>
        <v>1.0209999999999999</v>
      </c>
      <c r="P11" s="1728">
        <f t="shared" si="4"/>
        <v>1.032</v>
      </c>
      <c r="Q11" s="1729">
        <f t="shared" si="5"/>
        <v>1.0349999999999999</v>
      </c>
      <c r="R11" s="1732">
        <f t="shared" si="1"/>
        <v>1.3319480854780448</v>
      </c>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c r="ED11" s="8"/>
      <c r="EE11" s="8"/>
      <c r="EF11" s="8"/>
      <c r="EG11" s="8"/>
      <c r="EH11" s="8"/>
      <c r="EI11" s="8"/>
      <c r="EJ11" s="8"/>
      <c r="EK11" s="8"/>
      <c r="EL11" s="8"/>
      <c r="EM11" s="8"/>
      <c r="EN11" s="8"/>
      <c r="EO11" s="8"/>
      <c r="EP11" s="8"/>
      <c r="EQ11" s="8"/>
      <c r="ER11" s="8"/>
      <c r="ES11" s="8"/>
      <c r="ET11" s="8"/>
      <c r="EU11" s="8"/>
      <c r="EV11" s="8"/>
      <c r="EW11" s="8"/>
      <c r="EX11" s="8"/>
      <c r="EY11" s="8"/>
      <c r="EZ11" s="8"/>
      <c r="FA11" s="8"/>
      <c r="FB11" s="8"/>
      <c r="FC11" s="8"/>
      <c r="FD11" s="8"/>
      <c r="FE11" s="8"/>
      <c r="FF11" s="8"/>
      <c r="FG11" s="8"/>
      <c r="FH11" s="8"/>
      <c r="FI11" s="8"/>
      <c r="FJ11" s="8"/>
      <c r="FK11" s="8"/>
      <c r="FL11" s="8"/>
      <c r="FM11" s="8"/>
      <c r="FN11" s="8"/>
      <c r="FO11" s="8"/>
      <c r="FP11" s="8"/>
      <c r="FQ11" s="8"/>
      <c r="FR11" s="8"/>
      <c r="FS11" s="8"/>
      <c r="FT11" s="8"/>
      <c r="FU11" s="8"/>
      <c r="FV11" s="8"/>
      <c r="FW11" s="8"/>
      <c r="FX11" s="8"/>
      <c r="FY11" s="8"/>
      <c r="FZ11" s="8"/>
      <c r="GA11" s="8"/>
      <c r="GB11" s="8"/>
      <c r="GC11" s="8"/>
      <c r="GD11" s="8"/>
      <c r="GE11" s="8"/>
      <c r="GF11" s="8"/>
      <c r="GG11" s="8"/>
      <c r="GH11" s="8"/>
      <c r="GI11" s="8"/>
      <c r="GJ11" s="8"/>
      <c r="GK11" s="8"/>
      <c r="GL11" s="8"/>
      <c r="GM11" s="8"/>
      <c r="GN11" s="8"/>
      <c r="GO11" s="8"/>
      <c r="GP11" s="8"/>
      <c r="GQ11" s="8"/>
      <c r="GR11" s="8"/>
      <c r="GS11" s="8"/>
      <c r="GT11" s="8"/>
      <c r="GU11" s="8"/>
      <c r="GV11" s="8"/>
      <c r="GW11" s="8"/>
      <c r="GX11" s="8"/>
      <c r="GY11" s="8"/>
      <c r="GZ11" s="8"/>
      <c r="HA11" s="8"/>
      <c r="HB11" s="8"/>
      <c r="HC11" s="8"/>
      <c r="HD11" s="8"/>
      <c r="HE11" s="8"/>
      <c r="HF11" s="8"/>
      <c r="HG11" s="8"/>
      <c r="HH11" s="8"/>
      <c r="HI11" s="8"/>
      <c r="HJ11" s="8"/>
      <c r="HK11" s="8"/>
      <c r="HL11" s="8"/>
      <c r="HM11" s="8"/>
      <c r="HN11" s="8"/>
      <c r="HO11" s="8"/>
      <c r="HP11" s="8"/>
      <c r="HQ11" s="8"/>
      <c r="HR11" s="8"/>
      <c r="HS11" s="8"/>
      <c r="HT11" s="8"/>
      <c r="HU11" s="8"/>
      <c r="HV11" s="8"/>
      <c r="HW11" s="8"/>
      <c r="HX11" s="8"/>
      <c r="HY11" s="8"/>
      <c r="HZ11" s="8"/>
      <c r="IA11" s="8"/>
      <c r="IB11" s="8"/>
      <c r="IC11" s="8"/>
      <c r="ID11" s="8"/>
      <c r="IE11" s="8"/>
      <c r="IF11" s="8"/>
      <c r="IG11" s="8"/>
      <c r="IH11" s="8"/>
      <c r="II11" s="8"/>
      <c r="IJ11" s="8"/>
      <c r="IK11" s="8"/>
      <c r="IL11" s="8"/>
      <c r="IM11" s="8"/>
    </row>
    <row r="12" spans="1:247" x14ac:dyDescent="0.25">
      <c r="A12" s="4">
        <v>1442</v>
      </c>
      <c r="B12" s="9" t="s">
        <v>20</v>
      </c>
      <c r="C12" s="10" t="s">
        <v>9</v>
      </c>
      <c r="D12" s="1721" t="s">
        <v>3062</v>
      </c>
      <c r="E12" s="1728">
        <f t="shared" si="2"/>
        <v>1.0740000000000001</v>
      </c>
      <c r="F12" s="1723">
        <f t="shared" si="0"/>
        <v>1.0209999999999999</v>
      </c>
      <c r="G12" s="1729">
        <f t="shared" si="3"/>
        <v>1.0269999999999999</v>
      </c>
      <c r="H12" s="1728">
        <f>+$H$3</f>
        <v>1.0029999999999999</v>
      </c>
      <c r="I12" s="1730">
        <f>+$I$3</f>
        <v>1.0289999999999999</v>
      </c>
      <c r="J12" s="1730">
        <f>+$J$3</f>
        <v>1.0049999999999999</v>
      </c>
      <c r="K12" s="1730">
        <f>+$K$3</f>
        <v>1.026</v>
      </c>
      <c r="L12" s="1730">
        <f>+$L$3</f>
        <v>1.0129999999999999</v>
      </c>
      <c r="M12" s="1730">
        <f>+$M$3</f>
        <v>1.0029999999999999</v>
      </c>
      <c r="N12" s="1729">
        <f>+$N$3</f>
        <v>1.0029999999999999</v>
      </c>
      <c r="O12" s="1731">
        <f>+$O$3</f>
        <v>1.0209999999999999</v>
      </c>
      <c r="P12" s="1728">
        <f t="shared" si="4"/>
        <v>1.032</v>
      </c>
      <c r="Q12" s="1729">
        <f t="shared" si="5"/>
        <v>1.0349999999999999</v>
      </c>
      <c r="R12" s="1732">
        <f t="shared" si="1"/>
        <v>1.3319480854780448</v>
      </c>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row>
    <row r="13" spans="1:247" x14ac:dyDescent="0.25">
      <c r="A13" s="4">
        <v>1443</v>
      </c>
      <c r="B13" s="9" t="s">
        <v>21</v>
      </c>
      <c r="C13" s="10" t="s">
        <v>9</v>
      </c>
      <c r="D13" s="1721" t="s">
        <v>3062</v>
      </c>
      <c r="E13" s="1728">
        <f t="shared" si="2"/>
        <v>1.0740000000000001</v>
      </c>
      <c r="F13" s="1723">
        <f t="shared" si="0"/>
        <v>1.0209999999999999</v>
      </c>
      <c r="G13" s="1729">
        <f t="shared" si="3"/>
        <v>1.0269999999999999</v>
      </c>
      <c r="H13" s="1728">
        <f>+$H$3</f>
        <v>1.0029999999999999</v>
      </c>
      <c r="I13" s="1730">
        <f>+$I$3</f>
        <v>1.0289999999999999</v>
      </c>
      <c r="J13" s="1730">
        <f>+$J$3</f>
        <v>1.0049999999999999</v>
      </c>
      <c r="K13" s="1730"/>
      <c r="L13" s="1730"/>
      <c r="M13" s="1730">
        <f>+$M$3</f>
        <v>1.0029999999999999</v>
      </c>
      <c r="N13" s="1729">
        <f>+$N$3</f>
        <v>1.0029999999999999</v>
      </c>
      <c r="O13" s="1731"/>
      <c r="P13" s="1728">
        <f t="shared" si="4"/>
        <v>1.032</v>
      </c>
      <c r="Q13" s="1729">
        <f t="shared" si="5"/>
        <v>1.0349999999999999</v>
      </c>
      <c r="R13" s="1732">
        <f t="shared" si="1"/>
        <v>1.2551763558420395</v>
      </c>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c r="ED13" s="8"/>
      <c r="EE13" s="8"/>
      <c r="EF13" s="8"/>
      <c r="EG13" s="8"/>
      <c r="EH13" s="8"/>
      <c r="EI13" s="8"/>
      <c r="EJ13" s="8"/>
      <c r="EK13" s="8"/>
      <c r="EL13" s="8"/>
      <c r="EM13" s="8"/>
      <c r="EN13" s="8"/>
      <c r="EO13" s="8"/>
      <c r="EP13" s="8"/>
      <c r="EQ13" s="8"/>
      <c r="ER13" s="8"/>
      <c r="ES13" s="8"/>
      <c r="ET13" s="8"/>
      <c r="EU13" s="8"/>
      <c r="EV13" s="8"/>
      <c r="EW13" s="8"/>
      <c r="EX13" s="8"/>
      <c r="EY13" s="8"/>
      <c r="EZ13" s="8"/>
      <c r="FA13" s="8"/>
      <c r="FB13" s="8"/>
      <c r="FC13" s="8"/>
      <c r="FD13" s="8"/>
      <c r="FE13" s="8"/>
      <c r="FF13" s="8"/>
      <c r="FG13" s="8"/>
      <c r="FH13" s="8"/>
      <c r="FI13" s="8"/>
      <c r="FJ13" s="8"/>
      <c r="FK13" s="8"/>
      <c r="FL13" s="8"/>
      <c r="FM13" s="8"/>
      <c r="FN13" s="8"/>
      <c r="FO13" s="8"/>
      <c r="FP13" s="8"/>
      <c r="FQ13" s="8"/>
      <c r="FR13" s="8"/>
      <c r="FS13" s="8"/>
      <c r="FT13" s="8"/>
      <c r="FU13" s="8"/>
      <c r="FV13" s="8"/>
      <c r="FW13" s="8"/>
      <c r="FX13" s="8"/>
      <c r="FY13" s="8"/>
      <c r="FZ13" s="8"/>
      <c r="GA13" s="8"/>
      <c r="GB13" s="8"/>
      <c r="GC13" s="8"/>
      <c r="GD13" s="8"/>
      <c r="GE13" s="8"/>
      <c r="GF13" s="8"/>
      <c r="GG13" s="8"/>
      <c r="GH13" s="8"/>
      <c r="GI13" s="8"/>
      <c r="GJ13" s="8"/>
      <c r="GK13" s="8"/>
      <c r="GL13" s="8"/>
      <c r="GM13" s="8"/>
      <c r="GN13" s="8"/>
      <c r="GO13" s="8"/>
      <c r="GP13" s="8"/>
      <c r="GQ13" s="8"/>
      <c r="GR13" s="8"/>
      <c r="GS13" s="8"/>
      <c r="GT13" s="8"/>
      <c r="GU13" s="8"/>
      <c r="GV13" s="8"/>
      <c r="GW13" s="8"/>
      <c r="GX13" s="8"/>
      <c r="GY13" s="8"/>
      <c r="GZ13" s="8"/>
      <c r="HA13" s="8"/>
      <c r="HB13" s="8"/>
      <c r="HC13" s="8"/>
      <c r="HD13" s="8"/>
      <c r="HE13" s="8"/>
      <c r="HF13" s="8"/>
      <c r="HG13" s="8"/>
      <c r="HH13" s="8"/>
      <c r="HI13" s="8"/>
      <c r="HJ13" s="8"/>
      <c r="HK13" s="8"/>
      <c r="HL13" s="8"/>
      <c r="HM13" s="8"/>
      <c r="HN13" s="8"/>
      <c r="HO13" s="8"/>
      <c r="HP13" s="8"/>
      <c r="HQ13" s="8"/>
      <c r="HR13" s="8"/>
      <c r="HS13" s="8"/>
      <c r="HT13" s="8"/>
      <c r="HU13" s="8"/>
      <c r="HV13" s="8"/>
      <c r="HW13" s="8"/>
      <c r="HX13" s="8"/>
      <c r="HY13" s="8"/>
      <c r="HZ13" s="8"/>
      <c r="IA13" s="8"/>
      <c r="IB13" s="8"/>
      <c r="IC13" s="8"/>
      <c r="ID13" s="8"/>
      <c r="IE13" s="8"/>
      <c r="IF13" s="8"/>
      <c r="IG13" s="8"/>
      <c r="IH13" s="8"/>
      <c r="II13" s="8"/>
      <c r="IJ13" s="8"/>
      <c r="IK13" s="8"/>
      <c r="IL13" s="8"/>
      <c r="IM13" s="8"/>
    </row>
    <row r="14" spans="1:247" x14ac:dyDescent="0.25">
      <c r="A14" s="4">
        <v>1446</v>
      </c>
      <c r="B14" s="9" t="s">
        <v>22</v>
      </c>
      <c r="C14" s="10" t="s">
        <v>9</v>
      </c>
      <c r="D14" s="1721" t="s">
        <v>3062</v>
      </c>
      <c r="E14" s="1728">
        <f t="shared" si="2"/>
        <v>1.0740000000000001</v>
      </c>
      <c r="F14" s="1723">
        <f t="shared" si="0"/>
        <v>1.0209999999999999</v>
      </c>
      <c r="G14" s="1729">
        <f t="shared" si="3"/>
        <v>1.0269999999999999</v>
      </c>
      <c r="H14" s="1728"/>
      <c r="I14" s="1730">
        <f>+$I$3</f>
        <v>1.0289999999999999</v>
      </c>
      <c r="J14" s="1730">
        <f>+$J$3</f>
        <v>1.0049999999999999</v>
      </c>
      <c r="K14" s="1730">
        <f>+$K$3</f>
        <v>1.026</v>
      </c>
      <c r="L14" s="1730">
        <f>+$L$3</f>
        <v>1.0129999999999999</v>
      </c>
      <c r="M14" s="1730">
        <f>+$M$3</f>
        <v>1.0029999999999999</v>
      </c>
      <c r="N14" s="1729">
        <f>+$N$3</f>
        <v>1.0029999999999999</v>
      </c>
      <c r="O14" s="1731">
        <f>+$O$3</f>
        <v>1.0209999999999999</v>
      </c>
      <c r="P14" s="1728">
        <f t="shared" si="4"/>
        <v>1.032</v>
      </c>
      <c r="Q14" s="1729">
        <f t="shared" si="5"/>
        <v>1.0349999999999999</v>
      </c>
      <c r="R14" s="1732">
        <f t="shared" si="1"/>
        <v>1.3279641928993471</v>
      </c>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row>
    <row r="15" spans="1:247" x14ac:dyDescent="0.25">
      <c r="A15" s="4">
        <v>1491</v>
      </c>
      <c r="B15" s="9" t="s">
        <v>23</v>
      </c>
      <c r="C15" s="10" t="s">
        <v>11</v>
      </c>
      <c r="D15" s="1721" t="s">
        <v>3060</v>
      </c>
      <c r="E15" s="1728">
        <f t="shared" si="2"/>
        <v>1.0740000000000001</v>
      </c>
      <c r="F15" s="1723">
        <f t="shared" si="0"/>
        <v>1.0209999999999999</v>
      </c>
      <c r="G15" s="1729">
        <f t="shared" si="3"/>
        <v>1.0269999999999999</v>
      </c>
      <c r="H15" s="1728"/>
      <c r="I15" s="1730"/>
      <c r="J15" s="1730"/>
      <c r="K15" s="1730"/>
      <c r="L15" s="1730"/>
      <c r="M15" s="1730"/>
      <c r="N15" s="1729"/>
      <c r="O15" s="1731">
        <f>+$O$3</f>
        <v>1.0209999999999999</v>
      </c>
      <c r="P15" s="1728">
        <f t="shared" si="4"/>
        <v>1.032</v>
      </c>
      <c r="Q15" s="1729">
        <f t="shared" si="5"/>
        <v>1.0349999999999999</v>
      </c>
      <c r="R15" s="1732">
        <f t="shared" si="1"/>
        <v>1.2281354183505979</v>
      </c>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c r="ED15" s="8"/>
      <c r="EE15" s="8"/>
      <c r="EF15" s="8"/>
      <c r="EG15" s="8"/>
      <c r="EH15" s="8"/>
      <c r="EI15" s="8"/>
      <c r="EJ15" s="8"/>
      <c r="EK15" s="8"/>
      <c r="EL15" s="8"/>
      <c r="EM15" s="8"/>
      <c r="EN15" s="8"/>
      <c r="EO15" s="8"/>
      <c r="EP15" s="8"/>
      <c r="EQ15" s="8"/>
      <c r="ER15" s="8"/>
      <c r="ES15" s="8"/>
      <c r="ET15" s="8"/>
      <c r="EU15" s="8"/>
      <c r="EV15" s="8"/>
      <c r="EW15" s="8"/>
      <c r="EX15" s="8"/>
      <c r="EY15" s="8"/>
      <c r="EZ15" s="8"/>
      <c r="FA15" s="8"/>
      <c r="FB15" s="8"/>
      <c r="FC15" s="8"/>
      <c r="FD15" s="8"/>
      <c r="FE15" s="8"/>
      <c r="FF15" s="8"/>
      <c r="FG15" s="8"/>
      <c r="FH15" s="8"/>
      <c r="FI15" s="8"/>
      <c r="FJ15" s="8"/>
      <c r="FK15" s="8"/>
      <c r="FL15" s="8"/>
      <c r="FM15" s="8"/>
      <c r="FN15" s="8"/>
      <c r="FO15" s="8"/>
      <c r="FP15" s="8"/>
      <c r="FQ15" s="8"/>
      <c r="FR15" s="8"/>
      <c r="FS15" s="8"/>
      <c r="FT15" s="8"/>
      <c r="FU15" s="8"/>
      <c r="FV15" s="8"/>
      <c r="FW15" s="8"/>
      <c r="FX15" s="8"/>
      <c r="FY15" s="8"/>
      <c r="FZ15" s="8"/>
      <c r="GA15" s="8"/>
      <c r="GB15" s="8"/>
      <c r="GC15" s="8"/>
      <c r="GD15" s="8"/>
      <c r="GE15" s="8"/>
      <c r="GF15" s="8"/>
      <c r="GG15" s="8"/>
      <c r="GH15" s="8"/>
      <c r="GI15" s="8"/>
      <c r="GJ15" s="8"/>
      <c r="GK15" s="8"/>
      <c r="GL15" s="8"/>
      <c r="GM15" s="8"/>
      <c r="GN15" s="8"/>
      <c r="GO15" s="8"/>
      <c r="GP15" s="8"/>
      <c r="GQ15" s="8"/>
      <c r="GR15" s="8"/>
      <c r="GS15" s="8"/>
      <c r="GT15" s="8"/>
      <c r="GU15" s="8"/>
      <c r="GV15" s="8"/>
      <c r="GW15" s="8"/>
      <c r="GX15" s="8"/>
      <c r="GY15" s="8"/>
      <c r="GZ15" s="8"/>
      <c r="HA15" s="8"/>
      <c r="HB15" s="8"/>
      <c r="HC15" s="8"/>
      <c r="HD15" s="8"/>
      <c r="HE15" s="8"/>
      <c r="HF15" s="8"/>
      <c r="HG15" s="8"/>
      <c r="HH15" s="8"/>
      <c r="HI15" s="8"/>
      <c r="HJ15" s="8"/>
      <c r="HK15" s="8"/>
      <c r="HL15" s="8"/>
      <c r="HM15" s="8"/>
      <c r="HN15" s="8"/>
      <c r="HO15" s="8"/>
      <c r="HP15" s="8"/>
      <c r="HQ15" s="8"/>
      <c r="HR15" s="8"/>
      <c r="HS15" s="8"/>
      <c r="HT15" s="8"/>
      <c r="HU15" s="8"/>
      <c r="HV15" s="8"/>
      <c r="HW15" s="8"/>
      <c r="HX15" s="8"/>
      <c r="HY15" s="8"/>
      <c r="HZ15" s="8"/>
      <c r="IA15" s="8"/>
      <c r="IB15" s="8"/>
      <c r="IC15" s="8"/>
      <c r="ID15" s="8"/>
      <c r="IE15" s="8"/>
      <c r="IF15" s="8"/>
      <c r="IG15" s="8"/>
      <c r="IH15" s="8"/>
      <c r="II15" s="8"/>
      <c r="IJ15" s="8"/>
      <c r="IK15" s="8"/>
      <c r="IL15" s="8"/>
      <c r="IM15" s="8"/>
    </row>
    <row r="16" spans="1:247" x14ac:dyDescent="0.25">
      <c r="A16" s="4">
        <v>1493</v>
      </c>
      <c r="B16" s="9" t="s">
        <v>24</v>
      </c>
      <c r="C16" s="10" t="s">
        <v>11</v>
      </c>
      <c r="D16" s="1721" t="s">
        <v>3060</v>
      </c>
      <c r="E16" s="1728"/>
      <c r="F16" s="1723">
        <f t="shared" si="0"/>
        <v>1.0209999999999999</v>
      </c>
      <c r="G16" s="1729">
        <f t="shared" si="3"/>
        <v>1.0269999999999999</v>
      </c>
      <c r="H16" s="1728"/>
      <c r="I16" s="1730"/>
      <c r="J16" s="1730"/>
      <c r="K16" s="1730"/>
      <c r="L16" s="1730"/>
      <c r="M16" s="1730"/>
      <c r="N16" s="1729"/>
      <c r="O16" s="1731"/>
      <c r="P16" s="1728">
        <f t="shared" si="4"/>
        <v>1.032</v>
      </c>
      <c r="Q16" s="1729">
        <f t="shared" si="5"/>
        <v>1.0349999999999999</v>
      </c>
      <c r="R16" s="1732">
        <f t="shared" si="1"/>
        <v>1.1199953840399997</v>
      </c>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c r="ED16" s="8"/>
      <c r="EE16" s="8"/>
      <c r="EF16" s="8"/>
      <c r="EG16" s="8"/>
      <c r="EH16" s="8"/>
      <c r="EI16" s="8"/>
      <c r="EJ16" s="8"/>
      <c r="EK16" s="8"/>
      <c r="EL16" s="8"/>
      <c r="EM16" s="8"/>
      <c r="EN16" s="8"/>
      <c r="EO16" s="8"/>
      <c r="EP16" s="8"/>
      <c r="EQ16" s="8"/>
      <c r="ER16" s="8"/>
      <c r="ES16" s="8"/>
      <c r="ET16" s="8"/>
      <c r="EU16" s="8"/>
      <c r="EV16" s="8"/>
      <c r="EW16" s="8"/>
      <c r="EX16" s="8"/>
      <c r="EY16" s="8"/>
      <c r="EZ16" s="8"/>
      <c r="FA16" s="8"/>
      <c r="FB16" s="8"/>
      <c r="FC16" s="8"/>
      <c r="FD16" s="8"/>
      <c r="FE16" s="8"/>
      <c r="FF16" s="8"/>
      <c r="FG16" s="8"/>
      <c r="FH16" s="8"/>
      <c r="FI16" s="8"/>
      <c r="FJ16" s="8"/>
      <c r="FK16" s="8"/>
      <c r="FL16" s="8"/>
      <c r="FM16" s="8"/>
      <c r="FN16" s="8"/>
      <c r="FO16" s="8"/>
      <c r="FP16" s="8"/>
      <c r="FQ16" s="8"/>
      <c r="FR16" s="8"/>
      <c r="FS16" s="8"/>
      <c r="FT16" s="8"/>
      <c r="FU16" s="8"/>
      <c r="FV16" s="8"/>
      <c r="FW16" s="8"/>
      <c r="FX16" s="8"/>
      <c r="FY16" s="8"/>
      <c r="FZ16" s="8"/>
      <c r="GA16" s="8"/>
      <c r="GB16" s="8"/>
      <c r="GC16" s="8"/>
      <c r="GD16" s="8"/>
      <c r="GE16" s="8"/>
      <c r="GF16" s="8"/>
      <c r="GG16" s="8"/>
      <c r="GH16" s="8"/>
      <c r="GI16" s="8"/>
      <c r="GJ16" s="8"/>
      <c r="GK16" s="8"/>
      <c r="GL16" s="8"/>
      <c r="GM16" s="8"/>
      <c r="GN16" s="8"/>
      <c r="GO16" s="8"/>
      <c r="GP16" s="8"/>
      <c r="GQ16" s="8"/>
      <c r="GR16" s="8"/>
      <c r="GS16" s="8"/>
      <c r="GT16" s="8"/>
      <c r="GU16" s="8"/>
      <c r="GV16" s="8"/>
      <c r="GW16" s="8"/>
      <c r="GX16" s="8"/>
      <c r="GY16" s="8"/>
      <c r="GZ16" s="8"/>
      <c r="HA16" s="8"/>
      <c r="HB16" s="8"/>
      <c r="HC16" s="8"/>
      <c r="HD16" s="8"/>
      <c r="HE16" s="8"/>
      <c r="HF16" s="8"/>
      <c r="HG16" s="8"/>
      <c r="HH16" s="8"/>
      <c r="HI16" s="8"/>
      <c r="HJ16" s="8"/>
      <c r="HK16" s="8"/>
      <c r="HL16" s="8"/>
      <c r="HM16" s="8"/>
      <c r="HN16" s="8"/>
      <c r="HO16" s="8"/>
      <c r="HP16" s="8"/>
      <c r="HQ16" s="8"/>
      <c r="HR16" s="8"/>
      <c r="HS16" s="8"/>
      <c r="HT16" s="8"/>
      <c r="HU16" s="8"/>
      <c r="HV16" s="8"/>
      <c r="HW16" s="8"/>
      <c r="HX16" s="8"/>
      <c r="HY16" s="8"/>
      <c r="HZ16" s="8"/>
      <c r="IA16" s="8"/>
      <c r="IB16" s="8"/>
      <c r="IC16" s="8"/>
      <c r="ID16" s="8"/>
      <c r="IE16" s="8"/>
      <c r="IF16" s="8"/>
      <c r="IG16" s="8"/>
      <c r="IH16" s="8"/>
      <c r="II16" s="8"/>
      <c r="IJ16" s="8"/>
      <c r="IK16" s="8"/>
      <c r="IL16" s="8"/>
      <c r="IM16" s="8"/>
    </row>
    <row r="17" spans="1:247" x14ac:dyDescent="0.25">
      <c r="A17" s="4">
        <v>1495</v>
      </c>
      <c r="B17" s="9" t="s">
        <v>25</v>
      </c>
      <c r="C17" s="10" t="s">
        <v>11</v>
      </c>
      <c r="D17" s="1721" t="s">
        <v>3060</v>
      </c>
      <c r="E17" s="1728"/>
      <c r="F17" s="1723">
        <f t="shared" si="0"/>
        <v>1.0209999999999999</v>
      </c>
      <c r="G17" s="1729"/>
      <c r="H17" s="1728"/>
      <c r="I17" s="1730"/>
      <c r="J17" s="1730"/>
      <c r="K17" s="1730"/>
      <c r="L17" s="1730"/>
      <c r="M17" s="1730"/>
      <c r="N17" s="1729"/>
      <c r="O17" s="1731"/>
      <c r="P17" s="1728"/>
      <c r="Q17" s="1729"/>
      <c r="R17" s="1732">
        <f t="shared" si="1"/>
        <v>1.0209999999999999</v>
      </c>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c r="ED17" s="8"/>
      <c r="EE17" s="8"/>
      <c r="EF17" s="8"/>
      <c r="EG17" s="8"/>
      <c r="EH17" s="8"/>
      <c r="EI17" s="8"/>
      <c r="EJ17" s="8"/>
      <c r="EK17" s="8"/>
      <c r="EL17" s="8"/>
      <c r="EM17" s="8"/>
      <c r="EN17" s="8"/>
      <c r="EO17" s="8"/>
      <c r="EP17" s="8"/>
      <c r="EQ17" s="8"/>
      <c r="ER17" s="8"/>
      <c r="ES17" s="8"/>
      <c r="ET17" s="8"/>
      <c r="EU17" s="8"/>
      <c r="EV17" s="8"/>
      <c r="EW17" s="8"/>
      <c r="EX17" s="8"/>
      <c r="EY17" s="8"/>
      <c r="EZ17" s="8"/>
      <c r="FA17" s="8"/>
      <c r="FB17" s="8"/>
      <c r="FC17" s="8"/>
      <c r="FD17" s="8"/>
      <c r="FE17" s="8"/>
      <c r="FF17" s="8"/>
      <c r="FG17" s="8"/>
      <c r="FH17" s="8"/>
      <c r="FI17" s="8"/>
      <c r="FJ17" s="8"/>
      <c r="FK17" s="8"/>
      <c r="FL17" s="8"/>
      <c r="FM17" s="8"/>
      <c r="FN17" s="8"/>
      <c r="FO17" s="8"/>
      <c r="FP17" s="8"/>
      <c r="FQ17" s="8"/>
      <c r="FR17" s="8"/>
      <c r="FS17" s="8"/>
      <c r="FT17" s="8"/>
      <c r="FU17" s="8"/>
      <c r="FV17" s="8"/>
      <c r="FW17" s="8"/>
      <c r="FX17" s="8"/>
      <c r="FY17" s="8"/>
      <c r="FZ17" s="8"/>
      <c r="GA17" s="8"/>
      <c r="GB17" s="8"/>
      <c r="GC17" s="8"/>
      <c r="GD17" s="8"/>
      <c r="GE17" s="8"/>
      <c r="GF17" s="8"/>
      <c r="GG17" s="8"/>
      <c r="GH17" s="8"/>
      <c r="GI17" s="8"/>
      <c r="GJ17" s="8"/>
      <c r="GK17" s="8"/>
      <c r="GL17" s="8"/>
      <c r="GM17" s="8"/>
      <c r="GN17" s="8"/>
      <c r="GO17" s="8"/>
      <c r="GP17" s="8"/>
      <c r="GQ17" s="8"/>
      <c r="GR17" s="8"/>
      <c r="GS17" s="8"/>
      <c r="GT17" s="8"/>
      <c r="GU17" s="8"/>
      <c r="GV17" s="8"/>
      <c r="GW17" s="8"/>
      <c r="GX17" s="8"/>
      <c r="GY17" s="8"/>
      <c r="GZ17" s="8"/>
      <c r="HA17" s="8"/>
      <c r="HB17" s="8"/>
      <c r="HC17" s="8"/>
      <c r="HD17" s="8"/>
      <c r="HE17" s="8"/>
      <c r="HF17" s="8"/>
      <c r="HG17" s="8"/>
      <c r="HH17" s="8"/>
      <c r="HI17" s="8"/>
      <c r="HJ17" s="8"/>
      <c r="HK17" s="8"/>
      <c r="HL17" s="8"/>
      <c r="HM17" s="8"/>
      <c r="HN17" s="8"/>
      <c r="HO17" s="8"/>
      <c r="HP17" s="8"/>
      <c r="HQ17" s="8"/>
      <c r="HR17" s="8"/>
      <c r="HS17" s="8"/>
      <c r="HT17" s="8"/>
      <c r="HU17" s="8"/>
      <c r="HV17" s="8"/>
      <c r="HW17" s="8"/>
      <c r="HX17" s="8"/>
      <c r="HY17" s="8"/>
      <c r="HZ17" s="8"/>
      <c r="IA17" s="8"/>
      <c r="IB17" s="8"/>
      <c r="IC17" s="8"/>
      <c r="ID17" s="8"/>
      <c r="IE17" s="8"/>
      <c r="IF17" s="8"/>
      <c r="IG17" s="8"/>
      <c r="IH17" s="8"/>
      <c r="II17" s="8"/>
      <c r="IJ17" s="8"/>
      <c r="IK17" s="8"/>
      <c r="IL17" s="8"/>
      <c r="IM17" s="8"/>
    </row>
    <row r="18" spans="1:247" x14ac:dyDescent="0.25">
      <c r="A18" s="4">
        <v>1513</v>
      </c>
      <c r="B18" s="9" t="s">
        <v>27</v>
      </c>
      <c r="C18" s="10" t="s">
        <v>3</v>
      </c>
      <c r="D18" s="1721" t="s">
        <v>3060</v>
      </c>
      <c r="E18" s="1728"/>
      <c r="F18" s="1723">
        <f t="shared" si="0"/>
        <v>1.0209999999999999</v>
      </c>
      <c r="G18" s="1729"/>
      <c r="H18" s="1728"/>
      <c r="I18" s="1730"/>
      <c r="J18" s="1730"/>
      <c r="K18" s="1730"/>
      <c r="L18" s="1730"/>
      <c r="M18" s="1730"/>
      <c r="N18" s="1729"/>
      <c r="O18" s="1731"/>
      <c r="P18" s="1728">
        <f>+$P$3</f>
        <v>1.032</v>
      </c>
      <c r="Q18" s="1729">
        <f>+$Q$3</f>
        <v>1.0349999999999999</v>
      </c>
      <c r="R18" s="1732">
        <f t="shared" si="1"/>
        <v>1.0905505199999999</v>
      </c>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row>
    <row r="19" spans="1:247" x14ac:dyDescent="0.25">
      <c r="A19" s="4">
        <v>1541</v>
      </c>
      <c r="B19" s="9" t="s">
        <v>28</v>
      </c>
      <c r="C19" s="10" t="s">
        <v>7</v>
      </c>
      <c r="D19" s="1721" t="s">
        <v>3060</v>
      </c>
      <c r="E19" s="1728"/>
      <c r="F19" s="1723">
        <f t="shared" si="0"/>
        <v>1.0209999999999999</v>
      </c>
      <c r="G19" s="1729"/>
      <c r="H19" s="1728"/>
      <c r="I19" s="1730"/>
      <c r="J19" s="1730"/>
      <c r="K19" s="1730"/>
      <c r="L19" s="1730"/>
      <c r="M19" s="1730"/>
      <c r="N19" s="1729"/>
      <c r="O19" s="1731"/>
      <c r="P19" s="1728"/>
      <c r="Q19" s="1729"/>
      <c r="R19" s="1732">
        <f t="shared" si="1"/>
        <v>1.0209999999999999</v>
      </c>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c r="FN19" s="8"/>
      <c r="FO19" s="8"/>
      <c r="FP19" s="8"/>
      <c r="FQ19" s="8"/>
      <c r="FR19" s="8"/>
      <c r="FS19" s="8"/>
      <c r="FT19" s="8"/>
      <c r="FU19" s="8"/>
      <c r="FV19" s="8"/>
      <c r="FW19" s="8"/>
      <c r="FX19" s="8"/>
      <c r="FY19" s="8"/>
      <c r="FZ19" s="8"/>
      <c r="GA19" s="8"/>
      <c r="GB19" s="8"/>
      <c r="GC19" s="8"/>
      <c r="GD19" s="8"/>
      <c r="GE19" s="8"/>
      <c r="GF19" s="8"/>
      <c r="GG19" s="8"/>
      <c r="GH19" s="8"/>
      <c r="GI19" s="8"/>
      <c r="GJ19" s="8"/>
      <c r="GK19" s="8"/>
      <c r="GL19" s="8"/>
      <c r="GM19" s="8"/>
      <c r="GN19" s="8"/>
      <c r="GO19" s="8"/>
      <c r="GP19" s="8"/>
      <c r="GQ19" s="8"/>
      <c r="GR19" s="8"/>
      <c r="GS19" s="8"/>
      <c r="GT19" s="8"/>
      <c r="GU19" s="8"/>
      <c r="GV19" s="8"/>
      <c r="GW19" s="8"/>
      <c r="GX19" s="8"/>
      <c r="GY19" s="8"/>
      <c r="GZ19" s="8"/>
      <c r="HA19" s="8"/>
      <c r="HB19" s="8"/>
      <c r="HC19" s="8"/>
      <c r="HD19" s="8"/>
      <c r="HE19" s="8"/>
      <c r="HF19" s="8"/>
      <c r="HG19" s="8"/>
      <c r="HH19" s="8"/>
      <c r="HI19" s="8"/>
      <c r="HJ19" s="8"/>
      <c r="HK19" s="8"/>
      <c r="HL19" s="8"/>
      <c r="HM19" s="8"/>
      <c r="HN19" s="8"/>
      <c r="HO19" s="8"/>
      <c r="HP19" s="8"/>
      <c r="HQ19" s="8"/>
      <c r="HR19" s="8"/>
      <c r="HS19" s="8"/>
      <c r="HT19" s="8"/>
      <c r="HU19" s="8"/>
      <c r="HV19" s="8"/>
      <c r="HW19" s="8"/>
      <c r="HX19" s="8"/>
      <c r="HY19" s="8"/>
      <c r="HZ19" s="8"/>
      <c r="IA19" s="8"/>
      <c r="IB19" s="8"/>
      <c r="IC19" s="8"/>
      <c r="ID19" s="8"/>
      <c r="IE19" s="8"/>
      <c r="IF19" s="8"/>
      <c r="IG19" s="8"/>
      <c r="IH19" s="8"/>
      <c r="II19" s="8"/>
      <c r="IJ19" s="8"/>
      <c r="IK19" s="8"/>
      <c r="IL19" s="8"/>
      <c r="IM19" s="8"/>
    </row>
    <row r="20" spans="1:247" x14ac:dyDescent="0.25">
      <c r="A20" s="4">
        <v>1551</v>
      </c>
      <c r="B20" s="9" t="s">
        <v>29</v>
      </c>
      <c r="C20" s="10" t="s">
        <v>30</v>
      </c>
      <c r="D20" s="1721" t="s">
        <v>3060</v>
      </c>
      <c r="E20" s="1728"/>
      <c r="F20" s="1723">
        <f t="shared" si="0"/>
        <v>1.0209999999999999</v>
      </c>
      <c r="G20" s="1729"/>
      <c r="H20" s="1728"/>
      <c r="I20" s="1730"/>
      <c r="J20" s="1730"/>
      <c r="K20" s="1730"/>
      <c r="L20" s="1730"/>
      <c r="M20" s="1730"/>
      <c r="N20" s="1729"/>
      <c r="O20" s="1731"/>
      <c r="P20" s="1728">
        <f>+$P$3</f>
        <v>1.032</v>
      </c>
      <c r="Q20" s="1729">
        <f>+$Q$3</f>
        <v>1.0349999999999999</v>
      </c>
      <c r="R20" s="1732">
        <f t="shared" si="1"/>
        <v>1.0905505199999999</v>
      </c>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c r="ED20" s="8"/>
      <c r="EE20" s="8"/>
      <c r="EF20" s="8"/>
      <c r="EG20" s="8"/>
      <c r="EH20" s="8"/>
      <c r="EI20" s="8"/>
      <c r="EJ20" s="8"/>
      <c r="EK20" s="8"/>
      <c r="EL20" s="8"/>
      <c r="EM20" s="8"/>
      <c r="EN20" s="8"/>
      <c r="EO20" s="8"/>
      <c r="EP20" s="8"/>
      <c r="EQ20" s="8"/>
      <c r="ER20" s="8"/>
      <c r="ES20" s="8"/>
      <c r="ET20" s="8"/>
      <c r="EU20" s="8"/>
      <c r="EV20" s="8"/>
      <c r="EW20" s="8"/>
      <c r="EX20" s="8"/>
      <c r="EY20" s="8"/>
      <c r="EZ20" s="8"/>
      <c r="FA20" s="8"/>
      <c r="FB20" s="8"/>
      <c r="FC20" s="8"/>
      <c r="FD20" s="8"/>
      <c r="FE20" s="8"/>
      <c r="FF20" s="8"/>
      <c r="FG20" s="8"/>
      <c r="FH20" s="8"/>
      <c r="FI20" s="8"/>
      <c r="FJ20" s="8"/>
      <c r="FK20" s="8"/>
      <c r="FL20" s="8"/>
      <c r="FM20" s="8"/>
      <c r="FN20" s="8"/>
      <c r="FO20" s="8"/>
      <c r="FP20" s="8"/>
      <c r="FQ20" s="8"/>
      <c r="FR20" s="8"/>
      <c r="FS20" s="8"/>
      <c r="FT20" s="8"/>
      <c r="FU20" s="8"/>
      <c r="FV20" s="8"/>
      <c r="FW20" s="8"/>
      <c r="FX20" s="8"/>
      <c r="FY20" s="8"/>
      <c r="FZ20" s="8"/>
      <c r="GA20" s="8"/>
      <c r="GB20" s="8"/>
      <c r="GC20" s="8"/>
      <c r="GD20" s="8"/>
      <c r="GE20" s="8"/>
      <c r="GF20" s="8"/>
      <c r="GG20" s="8"/>
      <c r="GH20" s="8"/>
      <c r="GI20" s="8"/>
      <c r="GJ20" s="8"/>
      <c r="GK20" s="8"/>
      <c r="GL20" s="8"/>
      <c r="GM20" s="8"/>
      <c r="GN20" s="8"/>
      <c r="GO20" s="8"/>
      <c r="GP20" s="8"/>
      <c r="GQ20" s="8"/>
      <c r="GR20" s="8"/>
      <c r="GS20" s="8"/>
      <c r="GT20" s="8"/>
      <c r="GU20" s="8"/>
      <c r="GV20" s="8"/>
      <c r="GW20" s="8"/>
      <c r="GX20" s="8"/>
      <c r="GY20" s="8"/>
      <c r="GZ20" s="8"/>
      <c r="HA20" s="8"/>
      <c r="HB20" s="8"/>
      <c r="HC20" s="8"/>
      <c r="HD20" s="8"/>
      <c r="HE20" s="8"/>
      <c r="HF20" s="8"/>
      <c r="HG20" s="8"/>
      <c r="HH20" s="8"/>
      <c r="HI20" s="8"/>
      <c r="HJ20" s="8"/>
      <c r="HK20" s="8"/>
      <c r="HL20" s="8"/>
      <c r="HM20" s="8"/>
      <c r="HN20" s="8"/>
      <c r="HO20" s="8"/>
      <c r="HP20" s="8"/>
      <c r="HQ20" s="8"/>
      <c r="HR20" s="8"/>
      <c r="HS20" s="8"/>
      <c r="HT20" s="8"/>
      <c r="HU20" s="8"/>
      <c r="HV20" s="8"/>
      <c r="HW20" s="8"/>
      <c r="HX20" s="8"/>
      <c r="HY20" s="8"/>
      <c r="HZ20" s="8"/>
      <c r="IA20" s="8"/>
      <c r="IB20" s="8"/>
      <c r="IC20" s="8"/>
      <c r="ID20" s="8"/>
      <c r="IE20" s="8"/>
      <c r="IF20" s="8"/>
      <c r="IG20" s="8"/>
      <c r="IH20" s="8"/>
      <c r="II20" s="8"/>
      <c r="IJ20" s="8"/>
      <c r="IK20" s="8"/>
      <c r="IL20" s="8"/>
      <c r="IM20" s="8"/>
    </row>
    <row r="21" spans="1:247" x14ac:dyDescent="0.25">
      <c r="A21" s="4">
        <v>1552</v>
      </c>
      <c r="B21" s="9" t="s">
        <v>31</v>
      </c>
      <c r="C21" s="10" t="s">
        <v>9</v>
      </c>
      <c r="D21" s="1721" t="s">
        <v>3062</v>
      </c>
      <c r="E21" s="1728"/>
      <c r="F21" s="1723">
        <f t="shared" si="0"/>
        <v>1.0209999999999999</v>
      </c>
      <c r="G21" s="1729"/>
      <c r="H21" s="1728"/>
      <c r="I21" s="1730"/>
      <c r="J21" s="1730">
        <f>+$J$3</f>
        <v>1.0049999999999999</v>
      </c>
      <c r="K21" s="1730"/>
      <c r="L21" s="1730"/>
      <c r="M21" s="1730"/>
      <c r="N21" s="1729">
        <f>+$N$3</f>
        <v>1.0029999999999999</v>
      </c>
      <c r="O21" s="1731">
        <f>+$O$3</f>
        <v>1.0209999999999999</v>
      </c>
      <c r="P21" s="1728">
        <f>+$P$3</f>
        <v>1.032</v>
      </c>
      <c r="Q21" s="1729">
        <f>+$Q$3</f>
        <v>1.0349999999999999</v>
      </c>
      <c r="R21" s="1732">
        <f t="shared" si="1"/>
        <v>1.1223763993485734</v>
      </c>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c r="ED21" s="8"/>
      <c r="EE21" s="8"/>
      <c r="EF21" s="8"/>
      <c r="EG21" s="8"/>
      <c r="EH21" s="8"/>
      <c r="EI21" s="8"/>
      <c r="EJ21" s="8"/>
      <c r="EK21" s="8"/>
      <c r="EL21" s="8"/>
      <c r="EM21" s="8"/>
      <c r="EN21" s="8"/>
      <c r="EO21" s="8"/>
      <c r="EP21" s="8"/>
      <c r="EQ21" s="8"/>
      <c r="ER21" s="8"/>
      <c r="ES21" s="8"/>
      <c r="ET21" s="8"/>
      <c r="EU21" s="8"/>
      <c r="EV21" s="8"/>
      <c r="EW21" s="8"/>
      <c r="EX21" s="8"/>
      <c r="EY21" s="8"/>
      <c r="EZ21" s="8"/>
      <c r="FA21" s="8"/>
      <c r="FB21" s="8"/>
      <c r="FC21" s="8"/>
      <c r="FD21" s="8"/>
      <c r="FE21" s="8"/>
      <c r="FF21" s="8"/>
      <c r="FG21" s="8"/>
      <c r="FH21" s="8"/>
      <c r="FI21" s="8"/>
      <c r="FJ21" s="8"/>
      <c r="FK21" s="8"/>
      <c r="FL21" s="8"/>
      <c r="FM21" s="8"/>
      <c r="FN21" s="8"/>
      <c r="FO21" s="8"/>
      <c r="FP21" s="8"/>
      <c r="FQ21" s="8"/>
      <c r="FR21" s="8"/>
      <c r="FS21" s="8"/>
      <c r="FT21" s="8"/>
      <c r="FU21" s="8"/>
      <c r="FV21" s="8"/>
      <c r="FW21" s="8"/>
      <c r="FX21" s="8"/>
      <c r="FY21" s="8"/>
      <c r="FZ21" s="8"/>
      <c r="GA21" s="8"/>
      <c r="GB21" s="8"/>
      <c r="GC21" s="8"/>
      <c r="GD21" s="8"/>
      <c r="GE21" s="8"/>
      <c r="GF21" s="8"/>
      <c r="GG21" s="8"/>
      <c r="GH21" s="8"/>
      <c r="GI21" s="8"/>
      <c r="GJ21" s="8"/>
      <c r="GK21" s="8"/>
      <c r="GL21" s="8"/>
      <c r="GM21" s="8"/>
      <c r="GN21" s="8"/>
      <c r="GO21" s="8"/>
      <c r="GP21" s="8"/>
      <c r="GQ21" s="8"/>
      <c r="GR21" s="8"/>
      <c r="GS21" s="8"/>
      <c r="GT21" s="8"/>
      <c r="GU21" s="8"/>
      <c r="GV21" s="8"/>
      <c r="GW21" s="8"/>
      <c r="GX21" s="8"/>
      <c r="GY21" s="8"/>
      <c r="GZ21" s="8"/>
      <c r="HA21" s="8"/>
      <c r="HB21" s="8"/>
      <c r="HC21" s="8"/>
      <c r="HD21" s="8"/>
      <c r="HE21" s="8"/>
      <c r="HF21" s="8"/>
      <c r="HG21" s="8"/>
      <c r="HH21" s="8"/>
      <c r="HI21" s="8"/>
      <c r="HJ21" s="8"/>
      <c r="HK21" s="8"/>
      <c r="HL21" s="8"/>
      <c r="HM21" s="8"/>
      <c r="HN21" s="8"/>
      <c r="HO21" s="8"/>
      <c r="HP21" s="8"/>
      <c r="HQ21" s="8"/>
      <c r="HR21" s="8"/>
      <c r="HS21" s="8"/>
      <c r="HT21" s="8"/>
      <c r="HU21" s="8"/>
      <c r="HV21" s="8"/>
      <c r="HW21" s="8"/>
      <c r="HX21" s="8"/>
      <c r="HY21" s="8"/>
      <c r="HZ21" s="8"/>
      <c r="IA21" s="8"/>
      <c r="IB21" s="8"/>
      <c r="IC21" s="8"/>
      <c r="ID21" s="8"/>
      <c r="IE21" s="8"/>
      <c r="IF21" s="8"/>
      <c r="IG21" s="8"/>
      <c r="IH21" s="8"/>
      <c r="II21" s="8"/>
      <c r="IJ21" s="8"/>
      <c r="IK21" s="8"/>
      <c r="IL21" s="8"/>
      <c r="IM21" s="8"/>
    </row>
    <row r="22" spans="1:247" x14ac:dyDescent="0.25">
      <c r="A22" s="4">
        <v>1591</v>
      </c>
      <c r="B22" s="9" t="s">
        <v>32</v>
      </c>
      <c r="C22" s="10" t="s">
        <v>11</v>
      </c>
      <c r="D22" s="1721" t="s">
        <v>3060</v>
      </c>
      <c r="E22" s="1728"/>
      <c r="F22" s="1723">
        <f t="shared" si="0"/>
        <v>1.0209999999999999</v>
      </c>
      <c r="G22" s="1729"/>
      <c r="H22" s="1728"/>
      <c r="I22" s="1730"/>
      <c r="J22" s="1730"/>
      <c r="K22" s="1730"/>
      <c r="L22" s="1730"/>
      <c r="M22" s="1730"/>
      <c r="N22" s="1729"/>
      <c r="O22" s="1731"/>
      <c r="P22" s="1728"/>
      <c r="Q22" s="1729"/>
      <c r="R22" s="1732">
        <f t="shared" si="1"/>
        <v>1.0209999999999999</v>
      </c>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row>
    <row r="23" spans="1:247" x14ac:dyDescent="0.25">
      <c r="A23" s="4">
        <v>1593</v>
      </c>
      <c r="B23" s="9" t="s">
        <v>282</v>
      </c>
      <c r="C23" s="10" t="s">
        <v>3</v>
      </c>
      <c r="D23" s="1721" t="s">
        <v>3060</v>
      </c>
      <c r="E23" s="1728"/>
      <c r="F23" s="1723">
        <f t="shared" si="0"/>
        <v>1.0209999999999999</v>
      </c>
      <c r="G23" s="1729"/>
      <c r="H23" s="1728"/>
      <c r="I23" s="1730"/>
      <c r="J23" s="1730"/>
      <c r="K23" s="1730"/>
      <c r="L23" s="1730"/>
      <c r="M23" s="1730"/>
      <c r="N23" s="1729"/>
      <c r="O23" s="1731"/>
      <c r="P23" s="1728"/>
      <c r="Q23" s="1729"/>
      <c r="R23" s="1732">
        <f t="shared" ref="R23" si="6">PRODUCT(E23:Q23)</f>
        <v>1.0209999999999999</v>
      </c>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row>
    <row r="24" spans="1:247" x14ac:dyDescent="0.25">
      <c r="A24" s="4">
        <v>1641</v>
      </c>
      <c r="B24" s="9" t="s">
        <v>33</v>
      </c>
      <c r="C24" s="10" t="s">
        <v>7</v>
      </c>
      <c r="D24" s="1721" t="s">
        <v>3060</v>
      </c>
      <c r="E24" s="1728"/>
      <c r="F24" s="1723">
        <f t="shared" si="0"/>
        <v>1.0209999999999999</v>
      </c>
      <c r="G24" s="1729"/>
      <c r="H24" s="1728"/>
      <c r="I24" s="1730"/>
      <c r="J24" s="1730"/>
      <c r="K24" s="1730"/>
      <c r="L24" s="1730"/>
      <c r="M24" s="1730"/>
      <c r="N24" s="1729"/>
      <c r="O24" s="1731"/>
      <c r="P24" s="1728"/>
      <c r="Q24" s="1729"/>
      <c r="R24" s="1732">
        <f t="shared" si="1"/>
        <v>1.0209999999999999</v>
      </c>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row>
    <row r="25" spans="1:247" x14ac:dyDescent="0.25">
      <c r="A25" s="4">
        <v>1725</v>
      </c>
      <c r="B25" s="9" t="s">
        <v>34</v>
      </c>
      <c r="C25" s="10" t="s">
        <v>11</v>
      </c>
      <c r="D25" s="1721" t="s">
        <v>3060</v>
      </c>
      <c r="E25" s="1728"/>
      <c r="F25" s="1723">
        <f t="shared" si="0"/>
        <v>1.0209999999999999</v>
      </c>
      <c r="G25" s="1729">
        <f>+$G$3</f>
        <v>1.0269999999999999</v>
      </c>
      <c r="H25" s="1728"/>
      <c r="I25" s="1730"/>
      <c r="J25" s="1730"/>
      <c r="K25" s="1730"/>
      <c r="L25" s="1730">
        <f>+$L$3</f>
        <v>1.0129999999999999</v>
      </c>
      <c r="M25" s="1730"/>
      <c r="N25" s="1729">
        <f>+$N$3</f>
        <v>1.0029999999999999</v>
      </c>
      <c r="O25" s="1731"/>
      <c r="P25" s="1728">
        <f>+$P$3</f>
        <v>1.032</v>
      </c>
      <c r="Q25" s="1729">
        <f>+$Q$3</f>
        <v>1.0349999999999999</v>
      </c>
      <c r="R25" s="1732">
        <f t="shared" si="1"/>
        <v>1.1379589900046172</v>
      </c>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row>
    <row r="26" spans="1:247" x14ac:dyDescent="0.25">
      <c r="A26" s="4">
        <v>1745</v>
      </c>
      <c r="B26" s="9" t="s">
        <v>36</v>
      </c>
      <c r="C26" s="10" t="s">
        <v>35</v>
      </c>
      <c r="D26" s="1721" t="s">
        <v>3060</v>
      </c>
      <c r="E26" s="1728"/>
      <c r="F26" s="1723">
        <f t="shared" si="0"/>
        <v>1.0209999999999999</v>
      </c>
      <c r="G26" s="1729"/>
      <c r="H26" s="1728"/>
      <c r="I26" s="1730"/>
      <c r="J26" s="1730"/>
      <c r="K26" s="1730"/>
      <c r="L26" s="1730"/>
      <c r="M26" s="1730"/>
      <c r="N26" s="1729"/>
      <c r="O26" s="1731"/>
      <c r="P26" s="1728"/>
      <c r="Q26" s="1729"/>
      <c r="R26" s="1732">
        <f t="shared" si="1"/>
        <v>1.0209999999999999</v>
      </c>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c r="ED26" s="8"/>
      <c r="EE26" s="8"/>
      <c r="EF26" s="8"/>
      <c r="EG26" s="8"/>
      <c r="EH26" s="8"/>
      <c r="EI26" s="8"/>
      <c r="EJ26" s="8"/>
      <c r="EK26" s="8"/>
      <c r="EL26" s="8"/>
      <c r="EM26" s="8"/>
      <c r="EN26" s="8"/>
      <c r="EO26" s="8"/>
      <c r="EP26" s="8"/>
      <c r="EQ26" s="8"/>
      <c r="ER26" s="8"/>
      <c r="ES26" s="8"/>
      <c r="ET26" s="8"/>
      <c r="EU26" s="8"/>
      <c r="EV26" s="8"/>
      <c r="EW26" s="8"/>
      <c r="EX26" s="8"/>
      <c r="EY26" s="8"/>
      <c r="EZ26" s="8"/>
      <c r="FA26" s="8"/>
      <c r="FB26" s="8"/>
      <c r="FC26" s="8"/>
      <c r="FD26" s="8"/>
      <c r="FE26" s="8"/>
      <c r="FF26" s="8"/>
      <c r="FG26" s="8"/>
      <c r="FH26" s="8"/>
      <c r="FI26" s="8"/>
      <c r="FJ26" s="8"/>
      <c r="FK26" s="8"/>
      <c r="FL26" s="8"/>
      <c r="FM26" s="8"/>
      <c r="FN26" s="8"/>
      <c r="FO26" s="8"/>
      <c r="FP26" s="8"/>
      <c r="FQ26" s="8"/>
      <c r="FR26" s="8"/>
      <c r="FS26" s="8"/>
      <c r="FT26" s="8"/>
      <c r="FU26" s="8"/>
      <c r="FV26" s="8"/>
      <c r="FW26" s="8"/>
      <c r="FX26" s="8"/>
      <c r="FY26" s="8"/>
      <c r="FZ26" s="8"/>
      <c r="GA26" s="8"/>
      <c r="GB26" s="8"/>
      <c r="GC26" s="8"/>
      <c r="GD26" s="8"/>
      <c r="GE26" s="8"/>
      <c r="GF26" s="8"/>
      <c r="GG26" s="8"/>
      <c r="GH26" s="8"/>
      <c r="GI26" s="8"/>
      <c r="GJ26" s="8"/>
      <c r="GK26" s="8"/>
      <c r="GL26" s="8"/>
      <c r="GM26" s="8"/>
      <c r="GN26" s="8"/>
      <c r="GO26" s="8"/>
      <c r="GP26" s="8"/>
      <c r="GQ26" s="8"/>
      <c r="GR26" s="8"/>
      <c r="GS26" s="8"/>
      <c r="GT26" s="8"/>
      <c r="GU26" s="8"/>
      <c r="GV26" s="8"/>
      <c r="GW26" s="8"/>
      <c r="GX26" s="8"/>
      <c r="GY26" s="8"/>
      <c r="GZ26" s="8"/>
      <c r="HA26" s="8"/>
      <c r="HB26" s="8"/>
      <c r="HC26" s="8"/>
      <c r="HD26" s="8"/>
      <c r="HE26" s="8"/>
      <c r="HF26" s="8"/>
      <c r="HG26" s="8"/>
      <c r="HH26" s="8"/>
      <c r="HI26" s="8"/>
      <c r="HJ26" s="8"/>
      <c r="HK26" s="8"/>
      <c r="HL26" s="8"/>
      <c r="HM26" s="8"/>
      <c r="HN26" s="8"/>
      <c r="HO26" s="8"/>
      <c r="HP26" s="8"/>
      <c r="HQ26" s="8"/>
      <c r="HR26" s="8"/>
      <c r="HS26" s="8"/>
      <c r="HT26" s="8"/>
      <c r="HU26" s="8"/>
      <c r="HV26" s="8"/>
      <c r="HW26" s="8"/>
      <c r="HX26" s="8"/>
      <c r="HY26" s="8"/>
      <c r="HZ26" s="8"/>
      <c r="IA26" s="8"/>
      <c r="IB26" s="8"/>
      <c r="IC26" s="8"/>
      <c r="ID26" s="8"/>
      <c r="IE26" s="8"/>
      <c r="IF26" s="8"/>
      <c r="IG26" s="8"/>
      <c r="IH26" s="8"/>
      <c r="II26" s="8"/>
      <c r="IJ26" s="8"/>
      <c r="IK26" s="8"/>
      <c r="IL26" s="8"/>
      <c r="IM26" s="8"/>
    </row>
    <row r="27" spans="1:247" x14ac:dyDescent="0.25">
      <c r="A27" s="4">
        <v>1750</v>
      </c>
      <c r="B27" s="9" t="s">
        <v>37</v>
      </c>
      <c r="C27" s="10" t="s">
        <v>38</v>
      </c>
      <c r="D27" s="1721" t="s">
        <v>3060</v>
      </c>
      <c r="E27" s="1728"/>
      <c r="F27" s="1723">
        <f t="shared" si="0"/>
        <v>1.0209999999999999</v>
      </c>
      <c r="G27" s="1729">
        <f t="shared" ref="G27:G61" si="7">+$G$3</f>
        <v>1.0269999999999999</v>
      </c>
      <c r="H27" s="1728"/>
      <c r="I27" s="1730"/>
      <c r="J27" s="1730"/>
      <c r="K27" s="1730"/>
      <c r="L27" s="1730"/>
      <c r="M27" s="1730"/>
      <c r="N27" s="1729"/>
      <c r="O27" s="1731"/>
      <c r="P27" s="1728"/>
      <c r="Q27" s="1729"/>
      <c r="R27" s="1732">
        <f t="shared" si="1"/>
        <v>1.0485669999999998</v>
      </c>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c r="ED27" s="8"/>
      <c r="EE27" s="8"/>
      <c r="EF27" s="8"/>
      <c r="EG27" s="8"/>
      <c r="EH27" s="8"/>
      <c r="EI27" s="8"/>
      <c r="EJ27" s="8"/>
      <c r="EK27" s="8"/>
      <c r="EL27" s="8"/>
      <c r="EM27" s="8"/>
      <c r="EN27" s="8"/>
      <c r="EO27" s="8"/>
      <c r="EP27" s="8"/>
      <c r="EQ27" s="8"/>
      <c r="ER27" s="8"/>
      <c r="ES27" s="8"/>
      <c r="ET27" s="8"/>
      <c r="EU27" s="8"/>
      <c r="EV27" s="8"/>
      <c r="EW27" s="8"/>
      <c r="EX27" s="8"/>
      <c r="EY27" s="8"/>
      <c r="EZ27" s="8"/>
      <c r="FA27" s="8"/>
      <c r="FB27" s="8"/>
      <c r="FC27" s="8"/>
      <c r="FD27" s="8"/>
      <c r="FE27" s="8"/>
      <c r="FF27" s="8"/>
      <c r="FG27" s="8"/>
      <c r="FH27" s="8"/>
      <c r="FI27" s="8"/>
      <c r="FJ27" s="8"/>
      <c r="FK27" s="8"/>
      <c r="FL27" s="8"/>
      <c r="FM27" s="8"/>
      <c r="FN27" s="8"/>
      <c r="FO27" s="8"/>
      <c r="FP27" s="8"/>
      <c r="FQ27" s="8"/>
      <c r="FR27" s="8"/>
      <c r="FS27" s="8"/>
      <c r="FT27" s="8"/>
      <c r="FU27" s="8"/>
      <c r="FV27" s="8"/>
      <c r="FW27" s="8"/>
      <c r="FX27" s="8"/>
      <c r="FY27" s="8"/>
      <c r="FZ27" s="8"/>
      <c r="GA27" s="8"/>
      <c r="GB27" s="8"/>
      <c r="GC27" s="8"/>
      <c r="GD27" s="8"/>
      <c r="GE27" s="8"/>
      <c r="GF27" s="8"/>
      <c r="GG27" s="8"/>
      <c r="GH27" s="8"/>
      <c r="GI27" s="8"/>
      <c r="GJ27" s="8"/>
      <c r="GK27" s="8"/>
      <c r="GL27" s="8"/>
      <c r="GM27" s="8"/>
      <c r="GN27" s="8"/>
      <c r="GO27" s="8"/>
      <c r="GP27" s="8"/>
      <c r="GQ27" s="8"/>
      <c r="GR27" s="8"/>
      <c r="GS27" s="8"/>
      <c r="GT27" s="8"/>
      <c r="GU27" s="8"/>
      <c r="GV27" s="8"/>
      <c r="GW27" s="8"/>
      <c r="GX27" s="8"/>
      <c r="GY27" s="8"/>
      <c r="GZ27" s="8"/>
      <c r="HA27" s="8"/>
      <c r="HB27" s="8"/>
      <c r="HC27" s="8"/>
      <c r="HD27" s="8"/>
      <c r="HE27" s="8"/>
      <c r="HF27" s="8"/>
      <c r="HG27" s="8"/>
      <c r="HH27" s="8"/>
      <c r="HI27" s="8"/>
      <c r="HJ27" s="8"/>
      <c r="HK27" s="8"/>
      <c r="HL27" s="8"/>
      <c r="HM27" s="8"/>
      <c r="HN27" s="8"/>
      <c r="HO27" s="8"/>
      <c r="HP27" s="8"/>
      <c r="HQ27" s="8"/>
      <c r="HR27" s="8"/>
      <c r="HS27" s="8"/>
      <c r="HT27" s="8"/>
      <c r="HU27" s="8"/>
      <c r="HV27" s="8"/>
      <c r="HW27" s="8"/>
      <c r="HX27" s="8"/>
      <c r="HY27" s="8"/>
      <c r="HZ27" s="8"/>
      <c r="IA27" s="8"/>
      <c r="IB27" s="8"/>
      <c r="IC27" s="8"/>
      <c r="ID27" s="8"/>
      <c r="IE27" s="8"/>
      <c r="IF27" s="8"/>
      <c r="IG27" s="8"/>
      <c r="IH27" s="8"/>
      <c r="II27" s="8"/>
      <c r="IJ27" s="8"/>
      <c r="IK27" s="8"/>
      <c r="IL27" s="8"/>
      <c r="IM27" s="8"/>
    </row>
    <row r="28" spans="1:247" x14ac:dyDescent="0.25">
      <c r="A28" s="4">
        <v>1751</v>
      </c>
      <c r="B28" s="9" t="s">
        <v>39</v>
      </c>
      <c r="C28" s="10" t="s">
        <v>38</v>
      </c>
      <c r="D28" s="1721" t="s">
        <v>3060</v>
      </c>
      <c r="E28" s="1728"/>
      <c r="F28" s="1723">
        <f t="shared" si="0"/>
        <v>1.0209999999999999</v>
      </c>
      <c r="G28" s="1729">
        <f t="shared" si="7"/>
        <v>1.0269999999999999</v>
      </c>
      <c r="H28" s="1728"/>
      <c r="I28" s="1730"/>
      <c r="J28" s="1730"/>
      <c r="K28" s="1730"/>
      <c r="L28" s="1730"/>
      <c r="M28" s="1730"/>
      <c r="N28" s="1729"/>
      <c r="O28" s="1731"/>
      <c r="P28" s="1728"/>
      <c r="Q28" s="1729"/>
      <c r="R28" s="1732">
        <f t="shared" si="1"/>
        <v>1.0485669999999998</v>
      </c>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row>
    <row r="29" spans="1:247" x14ac:dyDescent="0.25">
      <c r="A29" s="4">
        <v>1752</v>
      </c>
      <c r="B29" s="9" t="s">
        <v>40</v>
      </c>
      <c r="C29" s="10" t="s">
        <v>38</v>
      </c>
      <c r="D29" s="1721" t="s">
        <v>3060</v>
      </c>
      <c r="E29" s="1728"/>
      <c r="F29" s="1723">
        <f t="shared" si="0"/>
        <v>1.0209999999999999</v>
      </c>
      <c r="G29" s="1729">
        <f t="shared" si="7"/>
        <v>1.0269999999999999</v>
      </c>
      <c r="H29" s="1728"/>
      <c r="I29" s="1730"/>
      <c r="J29" s="1730"/>
      <c r="K29" s="1730"/>
      <c r="L29" s="1730"/>
      <c r="M29" s="1730"/>
      <c r="N29" s="1729"/>
      <c r="O29" s="1731"/>
      <c r="P29" s="1728"/>
      <c r="Q29" s="1729"/>
      <c r="R29" s="1732">
        <f t="shared" si="1"/>
        <v>1.0485669999999998</v>
      </c>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c r="FN29" s="8"/>
      <c r="FO29" s="8"/>
      <c r="FP29" s="8"/>
      <c r="FQ29" s="8"/>
      <c r="FR29" s="8"/>
      <c r="FS29" s="8"/>
      <c r="FT29" s="8"/>
      <c r="FU29" s="8"/>
      <c r="FV29" s="8"/>
      <c r="FW29" s="8"/>
      <c r="FX29" s="8"/>
      <c r="FY29" s="8"/>
      <c r="FZ29" s="8"/>
      <c r="GA29" s="8"/>
      <c r="GB29" s="8"/>
      <c r="GC29" s="8"/>
      <c r="GD29" s="8"/>
      <c r="GE29" s="8"/>
      <c r="GF29" s="8"/>
      <c r="GG29" s="8"/>
      <c r="GH29" s="8"/>
      <c r="GI29" s="8"/>
      <c r="GJ29" s="8"/>
      <c r="GK29" s="8"/>
      <c r="GL29" s="8"/>
      <c r="GM29" s="8"/>
      <c r="GN29" s="8"/>
      <c r="GO29" s="8"/>
      <c r="GP29" s="8"/>
      <c r="GQ29" s="8"/>
      <c r="GR29" s="8"/>
      <c r="GS29" s="8"/>
      <c r="GT29" s="8"/>
      <c r="GU29" s="8"/>
      <c r="GV29" s="8"/>
      <c r="GW29" s="8"/>
      <c r="GX29" s="8"/>
      <c r="GY29" s="8"/>
      <c r="GZ29" s="8"/>
      <c r="HA29" s="8"/>
      <c r="HB29" s="8"/>
      <c r="HC29" s="8"/>
      <c r="HD29" s="8"/>
      <c r="HE29" s="8"/>
      <c r="HF29" s="8"/>
      <c r="HG29" s="8"/>
      <c r="HH29" s="8"/>
      <c r="HI29" s="8"/>
      <c r="HJ29" s="8"/>
      <c r="HK29" s="8"/>
      <c r="HL29" s="8"/>
      <c r="HM29" s="8"/>
      <c r="HN29" s="8"/>
      <c r="HO29" s="8"/>
      <c r="HP29" s="8"/>
      <c r="HQ29" s="8"/>
      <c r="HR29" s="8"/>
      <c r="HS29" s="8"/>
      <c r="HT29" s="8"/>
      <c r="HU29" s="8"/>
      <c r="HV29" s="8"/>
      <c r="HW29" s="8"/>
      <c r="HX29" s="8"/>
      <c r="HY29" s="8"/>
      <c r="HZ29" s="8"/>
      <c r="IA29" s="8"/>
      <c r="IB29" s="8"/>
      <c r="IC29" s="8"/>
      <c r="ID29" s="8"/>
      <c r="IE29" s="8"/>
      <c r="IF29" s="8"/>
      <c r="IG29" s="8"/>
      <c r="IH29" s="8"/>
      <c r="II29" s="8"/>
      <c r="IJ29" s="8"/>
      <c r="IK29" s="8"/>
      <c r="IL29" s="8"/>
      <c r="IM29" s="8"/>
    </row>
    <row r="30" spans="1:247" x14ac:dyDescent="0.25">
      <c r="A30" s="4">
        <v>1753</v>
      </c>
      <c r="B30" s="9" t="s">
        <v>41</v>
      </c>
      <c r="C30" s="10" t="s">
        <v>38</v>
      </c>
      <c r="D30" s="1721" t="s">
        <v>3060</v>
      </c>
      <c r="E30" s="1728"/>
      <c r="F30" s="1723">
        <f t="shared" si="0"/>
        <v>1.0209999999999999</v>
      </c>
      <c r="G30" s="1729">
        <f t="shared" si="7"/>
        <v>1.0269999999999999</v>
      </c>
      <c r="H30" s="1728"/>
      <c r="I30" s="1730"/>
      <c r="J30" s="1730"/>
      <c r="K30" s="1730"/>
      <c r="L30" s="1730"/>
      <c r="M30" s="1730"/>
      <c r="N30" s="1729"/>
      <c r="O30" s="1731"/>
      <c r="P30" s="1728"/>
      <c r="Q30" s="1729"/>
      <c r="R30" s="1732">
        <f t="shared" si="1"/>
        <v>1.0485669999999998</v>
      </c>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c r="ED30" s="8"/>
      <c r="EE30" s="8"/>
      <c r="EF30" s="8"/>
      <c r="EG30" s="8"/>
      <c r="EH30" s="8"/>
      <c r="EI30" s="8"/>
      <c r="EJ30" s="8"/>
      <c r="EK30" s="8"/>
      <c r="EL30" s="8"/>
      <c r="EM30" s="8"/>
      <c r="EN30" s="8"/>
      <c r="EO30" s="8"/>
      <c r="EP30" s="8"/>
      <c r="EQ30" s="8"/>
      <c r="ER30" s="8"/>
      <c r="ES30" s="8"/>
      <c r="ET30" s="8"/>
      <c r="EU30" s="8"/>
      <c r="EV30" s="8"/>
      <c r="EW30" s="8"/>
      <c r="EX30" s="8"/>
      <c r="EY30" s="8"/>
      <c r="EZ30" s="8"/>
      <c r="FA30" s="8"/>
      <c r="FB30" s="8"/>
      <c r="FC30" s="8"/>
      <c r="FD30" s="8"/>
      <c r="FE30" s="8"/>
      <c r="FF30" s="8"/>
      <c r="FG30" s="8"/>
      <c r="FH30" s="8"/>
      <c r="FI30" s="8"/>
      <c r="FJ30" s="8"/>
      <c r="FK30" s="8"/>
      <c r="FL30" s="8"/>
      <c r="FM30" s="8"/>
      <c r="FN30" s="8"/>
      <c r="FO30" s="8"/>
      <c r="FP30" s="8"/>
      <c r="FQ30" s="8"/>
      <c r="FR30" s="8"/>
      <c r="FS30" s="8"/>
      <c r="FT30" s="8"/>
      <c r="FU30" s="8"/>
      <c r="FV30" s="8"/>
      <c r="FW30" s="8"/>
      <c r="FX30" s="8"/>
      <c r="FY30" s="8"/>
      <c r="FZ30" s="8"/>
      <c r="GA30" s="8"/>
      <c r="GB30" s="8"/>
      <c r="GC30" s="8"/>
      <c r="GD30" s="8"/>
      <c r="GE30" s="8"/>
      <c r="GF30" s="8"/>
      <c r="GG30" s="8"/>
      <c r="GH30" s="8"/>
      <c r="GI30" s="8"/>
      <c r="GJ30" s="8"/>
      <c r="GK30" s="8"/>
      <c r="GL30" s="8"/>
      <c r="GM30" s="8"/>
      <c r="GN30" s="8"/>
      <c r="GO30" s="8"/>
      <c r="GP30" s="8"/>
      <c r="GQ30" s="8"/>
      <c r="GR30" s="8"/>
      <c r="GS30" s="8"/>
      <c r="GT30" s="8"/>
      <c r="GU30" s="8"/>
      <c r="GV30" s="8"/>
      <c r="GW30" s="8"/>
      <c r="GX30" s="8"/>
      <c r="GY30" s="8"/>
      <c r="GZ30" s="8"/>
      <c r="HA30" s="8"/>
      <c r="HB30" s="8"/>
      <c r="HC30" s="8"/>
      <c r="HD30" s="8"/>
      <c r="HE30" s="8"/>
      <c r="HF30" s="8"/>
      <c r="HG30" s="8"/>
      <c r="HH30" s="8"/>
      <c r="HI30" s="8"/>
      <c r="HJ30" s="8"/>
      <c r="HK30" s="8"/>
      <c r="HL30" s="8"/>
      <c r="HM30" s="8"/>
      <c r="HN30" s="8"/>
      <c r="HO30" s="8"/>
      <c r="HP30" s="8"/>
      <c r="HQ30" s="8"/>
      <c r="HR30" s="8"/>
      <c r="HS30" s="8"/>
      <c r="HT30" s="8"/>
      <c r="HU30" s="8"/>
      <c r="HV30" s="8"/>
      <c r="HW30" s="8"/>
      <c r="HX30" s="8"/>
      <c r="HY30" s="8"/>
      <c r="HZ30" s="8"/>
      <c r="IA30" s="8"/>
      <c r="IB30" s="8"/>
      <c r="IC30" s="8"/>
      <c r="ID30" s="8"/>
      <c r="IE30" s="8"/>
      <c r="IF30" s="8"/>
      <c r="IG30" s="8"/>
      <c r="IH30" s="8"/>
      <c r="II30" s="8"/>
      <c r="IJ30" s="8"/>
      <c r="IK30" s="8"/>
      <c r="IL30" s="8"/>
      <c r="IM30" s="8"/>
    </row>
    <row r="31" spans="1:247" x14ac:dyDescent="0.25">
      <c r="A31" s="4">
        <v>1754</v>
      </c>
      <c r="B31" s="9" t="s">
        <v>42</v>
      </c>
      <c r="C31" s="10" t="s">
        <v>38</v>
      </c>
      <c r="D31" s="1721" t="s">
        <v>3060</v>
      </c>
      <c r="E31" s="1728"/>
      <c r="F31" s="1723">
        <f t="shared" si="0"/>
        <v>1.0209999999999999</v>
      </c>
      <c r="G31" s="1729">
        <f t="shared" si="7"/>
        <v>1.0269999999999999</v>
      </c>
      <c r="H31" s="1728"/>
      <c r="I31" s="1730"/>
      <c r="J31" s="1730"/>
      <c r="K31" s="1730"/>
      <c r="L31" s="1730"/>
      <c r="M31" s="1730"/>
      <c r="N31" s="1729"/>
      <c r="O31" s="1731"/>
      <c r="P31" s="1728"/>
      <c r="Q31" s="1729"/>
      <c r="R31" s="1732">
        <f t="shared" si="1"/>
        <v>1.0485669999999998</v>
      </c>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row>
    <row r="32" spans="1:247" x14ac:dyDescent="0.25">
      <c r="A32" s="4">
        <v>1755</v>
      </c>
      <c r="B32" s="9" t="s">
        <v>43</v>
      </c>
      <c r="C32" s="10" t="s">
        <v>38</v>
      </c>
      <c r="D32" s="1721" t="s">
        <v>3060</v>
      </c>
      <c r="E32" s="1728"/>
      <c r="F32" s="1723">
        <f t="shared" si="0"/>
        <v>1.0209999999999999</v>
      </c>
      <c r="G32" s="1729">
        <f t="shared" si="7"/>
        <v>1.0269999999999999</v>
      </c>
      <c r="H32" s="1728"/>
      <c r="I32" s="1730"/>
      <c r="J32" s="1730"/>
      <c r="K32" s="1730"/>
      <c r="L32" s="1730"/>
      <c r="M32" s="1730"/>
      <c r="N32" s="1729"/>
      <c r="O32" s="1731"/>
      <c r="P32" s="1728"/>
      <c r="Q32" s="1729"/>
      <c r="R32" s="1732">
        <f t="shared" si="1"/>
        <v>1.0485669999999998</v>
      </c>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c r="ED32" s="8"/>
      <c r="EE32" s="8"/>
      <c r="EF32" s="8"/>
      <c r="EG32" s="8"/>
      <c r="EH32" s="8"/>
      <c r="EI32" s="8"/>
      <c r="EJ32" s="8"/>
      <c r="EK32" s="8"/>
      <c r="EL32" s="8"/>
      <c r="EM32" s="8"/>
      <c r="EN32" s="8"/>
      <c r="EO32" s="8"/>
      <c r="EP32" s="8"/>
      <c r="EQ32" s="8"/>
      <c r="ER32" s="8"/>
      <c r="ES32" s="8"/>
      <c r="ET32" s="8"/>
      <c r="EU32" s="8"/>
      <c r="EV32" s="8"/>
      <c r="EW32" s="8"/>
      <c r="EX32" s="8"/>
      <c r="EY32" s="8"/>
      <c r="EZ32" s="8"/>
      <c r="FA32" s="8"/>
      <c r="FB32" s="8"/>
      <c r="FC32" s="8"/>
      <c r="FD32" s="8"/>
      <c r="FE32" s="8"/>
      <c r="FF32" s="8"/>
      <c r="FG32" s="8"/>
      <c r="FH32" s="8"/>
      <c r="FI32" s="8"/>
      <c r="FJ32" s="8"/>
      <c r="FK32" s="8"/>
      <c r="FL32" s="8"/>
      <c r="FM32" s="8"/>
      <c r="FN32" s="8"/>
      <c r="FO32" s="8"/>
      <c r="FP32" s="8"/>
      <c r="FQ32" s="8"/>
      <c r="FR32" s="8"/>
      <c r="FS32" s="8"/>
      <c r="FT32" s="8"/>
      <c r="FU32" s="8"/>
      <c r="FV32" s="8"/>
      <c r="FW32" s="8"/>
      <c r="FX32" s="8"/>
      <c r="FY32" s="8"/>
      <c r="FZ32" s="8"/>
      <c r="GA32" s="8"/>
      <c r="GB32" s="8"/>
      <c r="GC32" s="8"/>
      <c r="GD32" s="8"/>
      <c r="GE32" s="8"/>
      <c r="GF32" s="8"/>
      <c r="GG32" s="8"/>
      <c r="GH32" s="8"/>
      <c r="GI32" s="8"/>
      <c r="GJ32" s="8"/>
      <c r="GK32" s="8"/>
      <c r="GL32" s="8"/>
      <c r="GM32" s="8"/>
      <c r="GN32" s="8"/>
      <c r="GO32" s="8"/>
      <c r="GP32" s="8"/>
      <c r="GQ32" s="8"/>
      <c r="GR32" s="8"/>
      <c r="GS32" s="8"/>
      <c r="GT32" s="8"/>
      <c r="GU32" s="8"/>
      <c r="GV32" s="8"/>
      <c r="GW32" s="8"/>
      <c r="GX32" s="8"/>
      <c r="GY32" s="8"/>
      <c r="GZ32" s="8"/>
      <c r="HA32" s="8"/>
      <c r="HB32" s="8"/>
      <c r="HC32" s="8"/>
      <c r="HD32" s="8"/>
      <c r="HE32" s="8"/>
      <c r="HF32" s="8"/>
      <c r="HG32" s="8"/>
      <c r="HH32" s="8"/>
      <c r="HI32" s="8"/>
      <c r="HJ32" s="8"/>
      <c r="HK32" s="8"/>
      <c r="HL32" s="8"/>
      <c r="HM32" s="8"/>
      <c r="HN32" s="8"/>
      <c r="HO32" s="8"/>
      <c r="HP32" s="8"/>
      <c r="HQ32" s="8"/>
      <c r="HR32" s="8"/>
      <c r="HS32" s="8"/>
      <c r="HT32" s="8"/>
      <c r="HU32" s="8"/>
      <c r="HV32" s="8"/>
      <c r="HW32" s="8"/>
      <c r="HX32" s="8"/>
      <c r="HY32" s="8"/>
      <c r="HZ32" s="8"/>
      <c r="IA32" s="8"/>
      <c r="IB32" s="8"/>
      <c r="IC32" s="8"/>
      <c r="ID32" s="8"/>
      <c r="IE32" s="8"/>
      <c r="IF32" s="8"/>
      <c r="IG32" s="8"/>
      <c r="IH32" s="8"/>
      <c r="II32" s="8"/>
      <c r="IJ32" s="8"/>
      <c r="IK32" s="8"/>
      <c r="IL32" s="8"/>
      <c r="IM32" s="8"/>
    </row>
    <row r="33" spans="1:247" x14ac:dyDescent="0.25">
      <c r="A33" s="4">
        <v>1756</v>
      </c>
      <c r="B33" s="9" t="s">
        <v>44</v>
      </c>
      <c r="C33" s="10" t="s">
        <v>38</v>
      </c>
      <c r="D33" s="1721" t="s">
        <v>3060</v>
      </c>
      <c r="E33" s="1728"/>
      <c r="F33" s="1723">
        <f t="shared" si="0"/>
        <v>1.0209999999999999</v>
      </c>
      <c r="G33" s="1729">
        <f t="shared" si="7"/>
        <v>1.0269999999999999</v>
      </c>
      <c r="H33" s="1728"/>
      <c r="I33" s="1730"/>
      <c r="J33" s="1730"/>
      <c r="K33" s="1730"/>
      <c r="L33" s="1730"/>
      <c r="M33" s="1730"/>
      <c r="N33" s="1729"/>
      <c r="O33" s="1731"/>
      <c r="P33" s="1728"/>
      <c r="Q33" s="1729"/>
      <c r="R33" s="1732">
        <f t="shared" si="1"/>
        <v>1.0485669999999998</v>
      </c>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c r="ED33" s="8"/>
      <c r="EE33" s="8"/>
      <c r="EF33" s="8"/>
      <c r="EG33" s="8"/>
      <c r="EH33" s="8"/>
      <c r="EI33" s="8"/>
      <c r="EJ33" s="8"/>
      <c r="EK33" s="8"/>
      <c r="EL33" s="8"/>
      <c r="EM33" s="8"/>
      <c r="EN33" s="8"/>
      <c r="EO33" s="8"/>
      <c r="EP33" s="8"/>
      <c r="EQ33" s="8"/>
      <c r="ER33" s="8"/>
      <c r="ES33" s="8"/>
      <c r="ET33" s="8"/>
      <c r="EU33" s="8"/>
      <c r="EV33" s="8"/>
      <c r="EW33" s="8"/>
      <c r="EX33" s="8"/>
      <c r="EY33" s="8"/>
      <c r="EZ33" s="8"/>
      <c r="FA33" s="8"/>
      <c r="FB33" s="8"/>
      <c r="FC33" s="8"/>
      <c r="FD33" s="8"/>
      <c r="FE33" s="8"/>
      <c r="FF33" s="8"/>
      <c r="FG33" s="8"/>
      <c r="FH33" s="8"/>
      <c r="FI33" s="8"/>
      <c r="FJ33" s="8"/>
      <c r="FK33" s="8"/>
      <c r="FL33" s="8"/>
      <c r="FM33" s="8"/>
      <c r="FN33" s="8"/>
      <c r="FO33" s="8"/>
      <c r="FP33" s="8"/>
      <c r="FQ33" s="8"/>
      <c r="FR33" s="8"/>
      <c r="FS33" s="8"/>
      <c r="FT33" s="8"/>
      <c r="FU33" s="8"/>
      <c r="FV33" s="8"/>
      <c r="FW33" s="8"/>
      <c r="FX33" s="8"/>
      <c r="FY33" s="8"/>
      <c r="FZ33" s="8"/>
      <c r="GA33" s="8"/>
      <c r="GB33" s="8"/>
      <c r="GC33" s="8"/>
      <c r="GD33" s="8"/>
      <c r="GE33" s="8"/>
      <c r="GF33" s="8"/>
      <c r="GG33" s="8"/>
      <c r="GH33" s="8"/>
      <c r="GI33" s="8"/>
      <c r="GJ33" s="8"/>
      <c r="GK33" s="8"/>
      <c r="GL33" s="8"/>
      <c r="GM33" s="8"/>
      <c r="GN33" s="8"/>
      <c r="GO33" s="8"/>
      <c r="GP33" s="8"/>
      <c r="GQ33" s="8"/>
      <c r="GR33" s="8"/>
      <c r="GS33" s="8"/>
      <c r="GT33" s="8"/>
      <c r="GU33" s="8"/>
      <c r="GV33" s="8"/>
      <c r="GW33" s="8"/>
      <c r="GX33" s="8"/>
      <c r="GY33" s="8"/>
      <c r="GZ33" s="8"/>
      <c r="HA33" s="8"/>
      <c r="HB33" s="8"/>
      <c r="HC33" s="8"/>
      <c r="HD33" s="8"/>
      <c r="HE33" s="8"/>
      <c r="HF33" s="8"/>
      <c r="HG33" s="8"/>
      <c r="HH33" s="8"/>
      <c r="HI33" s="8"/>
      <c r="HJ33" s="8"/>
      <c r="HK33" s="8"/>
      <c r="HL33" s="8"/>
      <c r="HM33" s="8"/>
      <c r="HN33" s="8"/>
      <c r="HO33" s="8"/>
      <c r="HP33" s="8"/>
      <c r="HQ33" s="8"/>
      <c r="HR33" s="8"/>
      <c r="HS33" s="8"/>
      <c r="HT33" s="8"/>
      <c r="HU33" s="8"/>
      <c r="HV33" s="8"/>
      <c r="HW33" s="8"/>
      <c r="HX33" s="8"/>
      <c r="HY33" s="8"/>
      <c r="HZ33" s="8"/>
      <c r="IA33" s="8"/>
      <c r="IB33" s="8"/>
      <c r="IC33" s="8"/>
      <c r="ID33" s="8"/>
      <c r="IE33" s="8"/>
      <c r="IF33" s="8"/>
      <c r="IG33" s="8"/>
      <c r="IH33" s="8"/>
      <c r="II33" s="8"/>
      <c r="IJ33" s="8"/>
      <c r="IK33" s="8"/>
      <c r="IL33" s="8"/>
      <c r="IM33" s="8"/>
    </row>
    <row r="34" spans="1:247" x14ac:dyDescent="0.25">
      <c r="A34" s="4">
        <v>1757</v>
      </c>
      <c r="B34" s="9" t="s">
        <v>45</v>
      </c>
      <c r="C34" s="10" t="s">
        <v>38</v>
      </c>
      <c r="D34" s="1721" t="s">
        <v>3060</v>
      </c>
      <c r="E34" s="1728"/>
      <c r="F34" s="1723">
        <f t="shared" si="0"/>
        <v>1.0209999999999999</v>
      </c>
      <c r="G34" s="1729">
        <f t="shared" si="7"/>
        <v>1.0269999999999999</v>
      </c>
      <c r="H34" s="1728"/>
      <c r="I34" s="1730"/>
      <c r="J34" s="1730"/>
      <c r="K34" s="1730"/>
      <c r="L34" s="1730"/>
      <c r="M34" s="1730"/>
      <c r="N34" s="1729"/>
      <c r="O34" s="1731"/>
      <c r="P34" s="1728"/>
      <c r="Q34" s="1729"/>
      <c r="R34" s="1732">
        <f t="shared" si="1"/>
        <v>1.0485669999999998</v>
      </c>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row>
    <row r="35" spans="1:247" x14ac:dyDescent="0.25">
      <c r="A35" s="4">
        <v>1758</v>
      </c>
      <c r="B35" s="9" t="s">
        <v>46</v>
      </c>
      <c r="C35" s="10" t="s">
        <v>38</v>
      </c>
      <c r="D35" s="1721" t="s">
        <v>3060</v>
      </c>
      <c r="E35" s="1728"/>
      <c r="F35" s="1723">
        <f t="shared" si="0"/>
        <v>1.0209999999999999</v>
      </c>
      <c r="G35" s="1729">
        <f t="shared" si="7"/>
        <v>1.0269999999999999</v>
      </c>
      <c r="H35" s="1728"/>
      <c r="I35" s="1730"/>
      <c r="J35" s="1730"/>
      <c r="K35" s="1730"/>
      <c r="L35" s="1730"/>
      <c r="M35" s="1730"/>
      <c r="N35" s="1729"/>
      <c r="O35" s="1731"/>
      <c r="P35" s="1728"/>
      <c r="Q35" s="1729"/>
      <c r="R35" s="1732">
        <f t="shared" si="1"/>
        <v>1.0485669999999998</v>
      </c>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c r="ED35" s="8"/>
      <c r="EE35" s="8"/>
      <c r="EF35" s="8"/>
      <c r="EG35" s="8"/>
      <c r="EH35" s="8"/>
      <c r="EI35" s="8"/>
      <c r="EJ35" s="8"/>
      <c r="EK35" s="8"/>
      <c r="EL35" s="8"/>
      <c r="EM35" s="8"/>
      <c r="EN35" s="8"/>
      <c r="EO35" s="8"/>
      <c r="EP35" s="8"/>
      <c r="EQ35" s="8"/>
      <c r="ER35" s="8"/>
      <c r="ES35" s="8"/>
      <c r="ET35" s="8"/>
      <c r="EU35" s="8"/>
      <c r="EV35" s="8"/>
      <c r="EW35" s="8"/>
      <c r="EX35" s="8"/>
      <c r="EY35" s="8"/>
      <c r="EZ35" s="8"/>
      <c r="FA35" s="8"/>
      <c r="FB35" s="8"/>
      <c r="FC35" s="8"/>
      <c r="FD35" s="8"/>
      <c r="FE35" s="8"/>
      <c r="FF35" s="8"/>
      <c r="FG35" s="8"/>
      <c r="FH35" s="8"/>
      <c r="FI35" s="8"/>
      <c r="FJ35" s="8"/>
      <c r="FK35" s="8"/>
      <c r="FL35" s="8"/>
      <c r="FM35" s="8"/>
      <c r="FN35" s="8"/>
      <c r="FO35" s="8"/>
      <c r="FP35" s="8"/>
      <c r="FQ35" s="8"/>
      <c r="FR35" s="8"/>
      <c r="FS35" s="8"/>
      <c r="FT35" s="8"/>
      <c r="FU35" s="8"/>
      <c r="FV35" s="8"/>
      <c r="FW35" s="8"/>
      <c r="FX35" s="8"/>
      <c r="FY35" s="8"/>
      <c r="FZ35" s="8"/>
      <c r="GA35" s="8"/>
      <c r="GB35" s="8"/>
      <c r="GC35" s="8"/>
      <c r="GD35" s="8"/>
      <c r="GE35" s="8"/>
      <c r="GF35" s="8"/>
      <c r="GG35" s="8"/>
      <c r="GH35" s="8"/>
      <c r="GI35" s="8"/>
      <c r="GJ35" s="8"/>
      <c r="GK35" s="8"/>
      <c r="GL35" s="8"/>
      <c r="GM35" s="8"/>
      <c r="GN35" s="8"/>
      <c r="GO35" s="8"/>
      <c r="GP35" s="8"/>
      <c r="GQ35" s="8"/>
      <c r="GR35" s="8"/>
      <c r="GS35" s="8"/>
      <c r="GT35" s="8"/>
      <c r="GU35" s="8"/>
      <c r="GV35" s="8"/>
      <c r="GW35" s="8"/>
      <c r="GX35" s="8"/>
      <c r="GY35" s="8"/>
      <c r="GZ35" s="8"/>
      <c r="HA35" s="8"/>
      <c r="HB35" s="8"/>
      <c r="HC35" s="8"/>
      <c r="HD35" s="8"/>
      <c r="HE35" s="8"/>
      <c r="HF35" s="8"/>
      <c r="HG35" s="8"/>
      <c r="HH35" s="8"/>
      <c r="HI35" s="8"/>
      <c r="HJ35" s="8"/>
      <c r="HK35" s="8"/>
      <c r="HL35" s="8"/>
      <c r="HM35" s="8"/>
      <c r="HN35" s="8"/>
      <c r="HO35" s="8"/>
      <c r="HP35" s="8"/>
      <c r="HQ35" s="8"/>
      <c r="HR35" s="8"/>
      <c r="HS35" s="8"/>
      <c r="HT35" s="8"/>
      <c r="HU35" s="8"/>
      <c r="HV35" s="8"/>
      <c r="HW35" s="8"/>
      <c r="HX35" s="8"/>
      <c r="HY35" s="8"/>
      <c r="HZ35" s="8"/>
      <c r="IA35" s="8"/>
      <c r="IB35" s="8"/>
      <c r="IC35" s="8"/>
      <c r="ID35" s="8"/>
      <c r="IE35" s="8"/>
      <c r="IF35" s="8"/>
      <c r="IG35" s="8"/>
      <c r="IH35" s="8"/>
      <c r="II35" s="8"/>
      <c r="IJ35" s="8"/>
      <c r="IK35" s="8"/>
      <c r="IL35" s="8"/>
      <c r="IM35" s="8"/>
    </row>
    <row r="36" spans="1:247" x14ac:dyDescent="0.25">
      <c r="A36" s="4">
        <v>1760</v>
      </c>
      <c r="B36" s="9" t="s">
        <v>47</v>
      </c>
      <c r="C36" s="10" t="s">
        <v>38</v>
      </c>
      <c r="D36" s="1721" t="s">
        <v>3060</v>
      </c>
      <c r="E36" s="1728"/>
      <c r="F36" s="1723">
        <f t="shared" si="0"/>
        <v>1.0209999999999999</v>
      </c>
      <c r="G36" s="1729">
        <f t="shared" si="7"/>
        <v>1.0269999999999999</v>
      </c>
      <c r="H36" s="1728"/>
      <c r="I36" s="1730"/>
      <c r="J36" s="1730"/>
      <c r="K36" s="1730"/>
      <c r="L36" s="1730"/>
      <c r="M36" s="1730"/>
      <c r="N36" s="1729"/>
      <c r="O36" s="1731"/>
      <c r="P36" s="1728"/>
      <c r="Q36" s="1729"/>
      <c r="R36" s="1732">
        <f t="shared" si="1"/>
        <v>1.0485669999999998</v>
      </c>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c r="ED36" s="8"/>
      <c r="EE36" s="8"/>
      <c r="EF36" s="8"/>
      <c r="EG36" s="8"/>
      <c r="EH36" s="8"/>
      <c r="EI36" s="8"/>
      <c r="EJ36" s="8"/>
      <c r="EK36" s="8"/>
      <c r="EL36" s="8"/>
      <c r="EM36" s="8"/>
      <c r="EN36" s="8"/>
      <c r="EO36" s="8"/>
      <c r="EP36" s="8"/>
      <c r="EQ36" s="8"/>
      <c r="ER36" s="8"/>
      <c r="ES36" s="8"/>
      <c r="ET36" s="8"/>
      <c r="EU36" s="8"/>
      <c r="EV36" s="8"/>
      <c r="EW36" s="8"/>
      <c r="EX36" s="8"/>
      <c r="EY36" s="8"/>
      <c r="EZ36" s="8"/>
      <c r="FA36" s="8"/>
      <c r="FB36" s="8"/>
      <c r="FC36" s="8"/>
      <c r="FD36" s="8"/>
      <c r="FE36" s="8"/>
      <c r="FF36" s="8"/>
      <c r="FG36" s="8"/>
      <c r="FH36" s="8"/>
      <c r="FI36" s="8"/>
      <c r="FJ36" s="8"/>
      <c r="FK36" s="8"/>
      <c r="FL36" s="8"/>
      <c r="FM36" s="8"/>
      <c r="FN36" s="8"/>
      <c r="FO36" s="8"/>
      <c r="FP36" s="8"/>
      <c r="FQ36" s="8"/>
      <c r="FR36" s="8"/>
      <c r="FS36" s="8"/>
      <c r="FT36" s="8"/>
      <c r="FU36" s="8"/>
      <c r="FV36" s="8"/>
      <c r="FW36" s="8"/>
      <c r="FX36" s="8"/>
      <c r="FY36" s="8"/>
      <c r="FZ36" s="8"/>
      <c r="GA36" s="8"/>
      <c r="GB36" s="8"/>
      <c r="GC36" s="8"/>
      <c r="GD36" s="8"/>
      <c r="GE36" s="8"/>
      <c r="GF36" s="8"/>
      <c r="GG36" s="8"/>
      <c r="GH36" s="8"/>
      <c r="GI36" s="8"/>
      <c r="GJ36" s="8"/>
      <c r="GK36" s="8"/>
      <c r="GL36" s="8"/>
      <c r="GM36" s="8"/>
      <c r="GN36" s="8"/>
      <c r="GO36" s="8"/>
      <c r="GP36" s="8"/>
      <c r="GQ36" s="8"/>
      <c r="GR36" s="8"/>
      <c r="GS36" s="8"/>
      <c r="GT36" s="8"/>
      <c r="GU36" s="8"/>
      <c r="GV36" s="8"/>
      <c r="GW36" s="8"/>
      <c r="GX36" s="8"/>
      <c r="GY36" s="8"/>
      <c r="GZ36" s="8"/>
      <c r="HA36" s="8"/>
      <c r="HB36" s="8"/>
      <c r="HC36" s="8"/>
      <c r="HD36" s="8"/>
      <c r="HE36" s="8"/>
      <c r="HF36" s="8"/>
      <c r="HG36" s="8"/>
      <c r="HH36" s="8"/>
      <c r="HI36" s="8"/>
      <c r="HJ36" s="8"/>
      <c r="HK36" s="8"/>
      <c r="HL36" s="8"/>
      <c r="HM36" s="8"/>
      <c r="HN36" s="8"/>
      <c r="HO36" s="8"/>
      <c r="HP36" s="8"/>
      <c r="HQ36" s="8"/>
      <c r="HR36" s="8"/>
      <c r="HS36" s="8"/>
      <c r="HT36" s="8"/>
      <c r="HU36" s="8"/>
      <c r="HV36" s="8"/>
      <c r="HW36" s="8"/>
      <c r="HX36" s="8"/>
      <c r="HY36" s="8"/>
      <c r="HZ36" s="8"/>
      <c r="IA36" s="8"/>
      <c r="IB36" s="8"/>
      <c r="IC36" s="8"/>
      <c r="ID36" s="8"/>
      <c r="IE36" s="8"/>
      <c r="IF36" s="8"/>
      <c r="IG36" s="8"/>
      <c r="IH36" s="8"/>
      <c r="II36" s="8"/>
      <c r="IJ36" s="8"/>
      <c r="IK36" s="8"/>
      <c r="IL36" s="8"/>
      <c r="IM36" s="8"/>
    </row>
    <row r="37" spans="1:247" x14ac:dyDescent="0.25">
      <c r="A37" s="4">
        <v>1761</v>
      </c>
      <c r="B37" s="9" t="s">
        <v>48</v>
      </c>
      <c r="C37" s="10" t="s">
        <v>38</v>
      </c>
      <c r="D37" s="1721" t="s">
        <v>3060</v>
      </c>
      <c r="E37" s="1728"/>
      <c r="F37" s="1723">
        <f t="shared" si="0"/>
        <v>1.0209999999999999</v>
      </c>
      <c r="G37" s="1729">
        <f t="shared" si="7"/>
        <v>1.0269999999999999</v>
      </c>
      <c r="H37" s="1728"/>
      <c r="I37" s="1730"/>
      <c r="J37" s="1730"/>
      <c r="K37" s="1730"/>
      <c r="L37" s="1730"/>
      <c r="M37" s="1730"/>
      <c r="N37" s="1729"/>
      <c r="O37" s="1731"/>
      <c r="P37" s="1728"/>
      <c r="Q37" s="1729"/>
      <c r="R37" s="1732">
        <f t="shared" si="1"/>
        <v>1.0485669999999998</v>
      </c>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row>
    <row r="38" spans="1:247" x14ac:dyDescent="0.25">
      <c r="A38" s="4">
        <v>1762</v>
      </c>
      <c r="B38" s="9" t="s">
        <v>49</v>
      </c>
      <c r="C38" s="10" t="s">
        <v>50</v>
      </c>
      <c r="D38" s="1721" t="s">
        <v>3060</v>
      </c>
      <c r="E38" s="1728"/>
      <c r="F38" s="1723">
        <f t="shared" si="0"/>
        <v>1.0209999999999999</v>
      </c>
      <c r="G38" s="1729">
        <f t="shared" si="7"/>
        <v>1.0269999999999999</v>
      </c>
      <c r="H38" s="1728"/>
      <c r="I38" s="1730"/>
      <c r="J38" s="1730"/>
      <c r="K38" s="1730"/>
      <c r="L38" s="1730"/>
      <c r="M38" s="1730"/>
      <c r="N38" s="1729"/>
      <c r="O38" s="1731"/>
      <c r="P38" s="1728"/>
      <c r="Q38" s="1729"/>
      <c r="R38" s="1732">
        <f t="shared" si="1"/>
        <v>1.0485669999999998</v>
      </c>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c r="ED38" s="8"/>
      <c r="EE38" s="8"/>
      <c r="EF38" s="8"/>
      <c r="EG38" s="8"/>
      <c r="EH38" s="8"/>
      <c r="EI38" s="8"/>
      <c r="EJ38" s="8"/>
      <c r="EK38" s="8"/>
      <c r="EL38" s="8"/>
      <c r="EM38" s="8"/>
      <c r="EN38" s="8"/>
      <c r="EO38" s="8"/>
      <c r="EP38" s="8"/>
      <c r="EQ38" s="8"/>
      <c r="ER38" s="8"/>
      <c r="ES38" s="8"/>
      <c r="ET38" s="8"/>
      <c r="EU38" s="8"/>
      <c r="EV38" s="8"/>
      <c r="EW38" s="8"/>
      <c r="EX38" s="8"/>
      <c r="EY38" s="8"/>
      <c r="EZ38" s="8"/>
      <c r="FA38" s="8"/>
      <c r="FB38" s="8"/>
      <c r="FC38" s="8"/>
      <c r="FD38" s="8"/>
      <c r="FE38" s="8"/>
      <c r="FF38" s="8"/>
      <c r="FG38" s="8"/>
      <c r="FH38" s="8"/>
      <c r="FI38" s="8"/>
      <c r="FJ38" s="8"/>
      <c r="FK38" s="8"/>
      <c r="FL38" s="8"/>
      <c r="FM38" s="8"/>
      <c r="FN38" s="8"/>
      <c r="FO38" s="8"/>
      <c r="FP38" s="8"/>
      <c r="FQ38" s="8"/>
      <c r="FR38" s="8"/>
      <c r="FS38" s="8"/>
      <c r="FT38" s="8"/>
      <c r="FU38" s="8"/>
      <c r="FV38" s="8"/>
      <c r="FW38" s="8"/>
      <c r="FX38" s="8"/>
      <c r="FY38" s="8"/>
      <c r="FZ38" s="8"/>
      <c r="GA38" s="8"/>
      <c r="GB38" s="8"/>
      <c r="GC38" s="8"/>
      <c r="GD38" s="8"/>
      <c r="GE38" s="8"/>
      <c r="GF38" s="8"/>
      <c r="GG38" s="8"/>
      <c r="GH38" s="8"/>
      <c r="GI38" s="8"/>
      <c r="GJ38" s="8"/>
      <c r="GK38" s="8"/>
      <c r="GL38" s="8"/>
      <c r="GM38" s="8"/>
      <c r="GN38" s="8"/>
      <c r="GO38" s="8"/>
      <c r="GP38" s="8"/>
      <c r="GQ38" s="8"/>
      <c r="GR38" s="8"/>
      <c r="GS38" s="8"/>
      <c r="GT38" s="8"/>
      <c r="GU38" s="8"/>
      <c r="GV38" s="8"/>
      <c r="GW38" s="8"/>
      <c r="GX38" s="8"/>
      <c r="GY38" s="8"/>
      <c r="GZ38" s="8"/>
      <c r="HA38" s="8"/>
      <c r="HB38" s="8"/>
      <c r="HC38" s="8"/>
      <c r="HD38" s="8"/>
      <c r="HE38" s="8"/>
      <c r="HF38" s="8"/>
      <c r="HG38" s="8"/>
      <c r="HH38" s="8"/>
      <c r="HI38" s="8"/>
      <c r="HJ38" s="8"/>
      <c r="HK38" s="8"/>
      <c r="HL38" s="8"/>
      <c r="HM38" s="8"/>
      <c r="HN38" s="8"/>
      <c r="HO38" s="8"/>
      <c r="HP38" s="8"/>
      <c r="HQ38" s="8"/>
      <c r="HR38" s="8"/>
      <c r="HS38" s="8"/>
      <c r="HT38" s="8"/>
      <c r="HU38" s="8"/>
      <c r="HV38" s="8"/>
      <c r="HW38" s="8"/>
      <c r="HX38" s="8"/>
      <c r="HY38" s="8"/>
      <c r="HZ38" s="8"/>
      <c r="IA38" s="8"/>
      <c r="IB38" s="8"/>
      <c r="IC38" s="8"/>
      <c r="ID38" s="8"/>
      <c r="IE38" s="8"/>
      <c r="IF38" s="8"/>
      <c r="IG38" s="8"/>
      <c r="IH38" s="8"/>
      <c r="II38" s="8"/>
      <c r="IJ38" s="8"/>
      <c r="IK38" s="8"/>
      <c r="IL38" s="8"/>
      <c r="IM38" s="8"/>
    </row>
    <row r="39" spans="1:247" x14ac:dyDescent="0.25">
      <c r="A39" s="4">
        <v>1763</v>
      </c>
      <c r="B39" s="9" t="s">
        <v>51</v>
      </c>
      <c r="C39" s="10" t="s">
        <v>38</v>
      </c>
      <c r="D39" s="1721" t="s">
        <v>3060</v>
      </c>
      <c r="E39" s="1728"/>
      <c r="F39" s="1723">
        <f t="shared" si="0"/>
        <v>1.0209999999999999</v>
      </c>
      <c r="G39" s="1729">
        <f t="shared" si="7"/>
        <v>1.0269999999999999</v>
      </c>
      <c r="H39" s="1728"/>
      <c r="I39" s="1730"/>
      <c r="J39" s="1730"/>
      <c r="K39" s="1730"/>
      <c r="L39" s="1730"/>
      <c r="M39" s="1730"/>
      <c r="N39" s="1729"/>
      <c r="O39" s="1731"/>
      <c r="P39" s="1728"/>
      <c r="Q39" s="1729"/>
      <c r="R39" s="1732">
        <f t="shared" si="1"/>
        <v>1.0485669999999998</v>
      </c>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c r="ED39" s="8"/>
      <c r="EE39" s="8"/>
      <c r="EF39" s="8"/>
      <c r="EG39" s="8"/>
      <c r="EH39" s="8"/>
      <c r="EI39" s="8"/>
      <c r="EJ39" s="8"/>
      <c r="EK39" s="8"/>
      <c r="EL39" s="8"/>
      <c r="EM39" s="8"/>
      <c r="EN39" s="8"/>
      <c r="EO39" s="8"/>
      <c r="EP39" s="8"/>
      <c r="EQ39" s="8"/>
      <c r="ER39" s="8"/>
      <c r="ES39" s="8"/>
      <c r="ET39" s="8"/>
      <c r="EU39" s="8"/>
      <c r="EV39" s="8"/>
      <c r="EW39" s="8"/>
      <c r="EX39" s="8"/>
      <c r="EY39" s="8"/>
      <c r="EZ39" s="8"/>
      <c r="FA39" s="8"/>
      <c r="FB39" s="8"/>
      <c r="FC39" s="8"/>
      <c r="FD39" s="8"/>
      <c r="FE39" s="8"/>
      <c r="FF39" s="8"/>
      <c r="FG39" s="8"/>
      <c r="FH39" s="8"/>
      <c r="FI39" s="8"/>
      <c r="FJ39" s="8"/>
      <c r="FK39" s="8"/>
      <c r="FL39" s="8"/>
      <c r="FM39" s="8"/>
      <c r="FN39" s="8"/>
      <c r="FO39" s="8"/>
      <c r="FP39" s="8"/>
      <c r="FQ39" s="8"/>
      <c r="FR39" s="8"/>
      <c r="FS39" s="8"/>
      <c r="FT39" s="8"/>
      <c r="FU39" s="8"/>
      <c r="FV39" s="8"/>
      <c r="FW39" s="8"/>
      <c r="FX39" s="8"/>
      <c r="FY39" s="8"/>
      <c r="FZ39" s="8"/>
      <c r="GA39" s="8"/>
      <c r="GB39" s="8"/>
      <c r="GC39" s="8"/>
      <c r="GD39" s="8"/>
      <c r="GE39" s="8"/>
      <c r="GF39" s="8"/>
      <c r="GG39" s="8"/>
      <c r="GH39" s="8"/>
      <c r="GI39" s="8"/>
      <c r="GJ39" s="8"/>
      <c r="GK39" s="8"/>
      <c r="GL39" s="8"/>
      <c r="GM39" s="8"/>
      <c r="GN39" s="8"/>
      <c r="GO39" s="8"/>
      <c r="GP39" s="8"/>
      <c r="GQ39" s="8"/>
      <c r="GR39" s="8"/>
      <c r="GS39" s="8"/>
      <c r="GT39" s="8"/>
      <c r="GU39" s="8"/>
      <c r="GV39" s="8"/>
      <c r="GW39" s="8"/>
      <c r="GX39" s="8"/>
      <c r="GY39" s="8"/>
      <c r="GZ39" s="8"/>
      <c r="HA39" s="8"/>
      <c r="HB39" s="8"/>
      <c r="HC39" s="8"/>
      <c r="HD39" s="8"/>
      <c r="HE39" s="8"/>
      <c r="HF39" s="8"/>
      <c r="HG39" s="8"/>
      <c r="HH39" s="8"/>
      <c r="HI39" s="8"/>
      <c r="HJ39" s="8"/>
      <c r="HK39" s="8"/>
      <c r="HL39" s="8"/>
      <c r="HM39" s="8"/>
      <c r="HN39" s="8"/>
      <c r="HO39" s="8"/>
      <c r="HP39" s="8"/>
      <c r="HQ39" s="8"/>
      <c r="HR39" s="8"/>
      <c r="HS39" s="8"/>
      <c r="HT39" s="8"/>
      <c r="HU39" s="8"/>
      <c r="HV39" s="8"/>
      <c r="HW39" s="8"/>
      <c r="HX39" s="8"/>
      <c r="HY39" s="8"/>
      <c r="HZ39" s="8"/>
      <c r="IA39" s="8"/>
      <c r="IB39" s="8"/>
      <c r="IC39" s="8"/>
      <c r="ID39" s="8"/>
      <c r="IE39" s="8"/>
      <c r="IF39" s="8"/>
      <c r="IG39" s="8"/>
      <c r="IH39" s="8"/>
      <c r="II39" s="8"/>
      <c r="IJ39" s="8"/>
      <c r="IK39" s="8"/>
      <c r="IL39" s="8"/>
      <c r="IM39" s="8"/>
    </row>
    <row r="40" spans="1:247" x14ac:dyDescent="0.25">
      <c r="A40" s="4">
        <v>1764</v>
      </c>
      <c r="B40" s="9" t="s">
        <v>52</v>
      </c>
      <c r="C40" s="10" t="s">
        <v>50</v>
      </c>
      <c r="D40" s="1721" t="s">
        <v>3060</v>
      </c>
      <c r="E40" s="1728"/>
      <c r="F40" s="1723">
        <f t="shared" si="0"/>
        <v>1.0209999999999999</v>
      </c>
      <c r="G40" s="1729">
        <f t="shared" si="7"/>
        <v>1.0269999999999999</v>
      </c>
      <c r="H40" s="1728"/>
      <c r="I40" s="1730"/>
      <c r="J40" s="1730"/>
      <c r="K40" s="1730"/>
      <c r="L40" s="1730"/>
      <c r="M40" s="1730"/>
      <c r="N40" s="1729"/>
      <c r="O40" s="1731"/>
      <c r="P40" s="1728"/>
      <c r="Q40" s="1729"/>
      <c r="R40" s="1732">
        <f t="shared" si="1"/>
        <v>1.0485669999999998</v>
      </c>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c r="ED40" s="8"/>
      <c r="EE40" s="8"/>
      <c r="EF40" s="8"/>
      <c r="EG40" s="8"/>
      <c r="EH40" s="8"/>
      <c r="EI40" s="8"/>
      <c r="EJ40" s="8"/>
      <c r="EK40" s="8"/>
      <c r="EL40" s="8"/>
      <c r="EM40" s="8"/>
      <c r="EN40" s="8"/>
      <c r="EO40" s="8"/>
      <c r="EP40" s="8"/>
      <c r="EQ40" s="8"/>
      <c r="ER40" s="8"/>
      <c r="ES40" s="8"/>
      <c r="ET40" s="8"/>
      <c r="EU40" s="8"/>
      <c r="EV40" s="8"/>
      <c r="EW40" s="8"/>
      <c r="EX40" s="8"/>
      <c r="EY40" s="8"/>
      <c r="EZ40" s="8"/>
      <c r="FA40" s="8"/>
      <c r="FB40" s="8"/>
      <c r="FC40" s="8"/>
      <c r="FD40" s="8"/>
      <c r="FE40" s="8"/>
      <c r="FF40" s="8"/>
      <c r="FG40" s="8"/>
      <c r="FH40" s="8"/>
      <c r="FI40" s="8"/>
      <c r="FJ40" s="8"/>
      <c r="FK40" s="8"/>
      <c r="FL40" s="8"/>
      <c r="FM40" s="8"/>
      <c r="FN40" s="8"/>
      <c r="FO40" s="8"/>
      <c r="FP40" s="8"/>
      <c r="FQ40" s="8"/>
      <c r="FR40" s="8"/>
      <c r="FS40" s="8"/>
      <c r="FT40" s="8"/>
      <c r="FU40" s="8"/>
      <c r="FV40" s="8"/>
      <c r="FW40" s="8"/>
      <c r="FX40" s="8"/>
      <c r="FY40" s="8"/>
      <c r="FZ40" s="8"/>
      <c r="GA40" s="8"/>
      <c r="GB40" s="8"/>
      <c r="GC40" s="8"/>
      <c r="GD40" s="8"/>
      <c r="GE40" s="8"/>
      <c r="GF40" s="8"/>
      <c r="GG40" s="8"/>
      <c r="GH40" s="8"/>
      <c r="GI40" s="8"/>
      <c r="GJ40" s="8"/>
      <c r="GK40" s="8"/>
      <c r="GL40" s="8"/>
      <c r="GM40" s="8"/>
      <c r="GN40" s="8"/>
      <c r="GO40" s="8"/>
      <c r="GP40" s="8"/>
      <c r="GQ40" s="8"/>
      <c r="GR40" s="8"/>
      <c r="GS40" s="8"/>
      <c r="GT40" s="8"/>
      <c r="GU40" s="8"/>
      <c r="GV40" s="8"/>
      <c r="GW40" s="8"/>
      <c r="GX40" s="8"/>
      <c r="GY40" s="8"/>
      <c r="GZ40" s="8"/>
      <c r="HA40" s="8"/>
      <c r="HB40" s="8"/>
      <c r="HC40" s="8"/>
      <c r="HD40" s="8"/>
      <c r="HE40" s="8"/>
      <c r="HF40" s="8"/>
      <c r="HG40" s="8"/>
      <c r="HH40" s="8"/>
      <c r="HI40" s="8"/>
      <c r="HJ40" s="8"/>
      <c r="HK40" s="8"/>
      <c r="HL40" s="8"/>
      <c r="HM40" s="8"/>
      <c r="HN40" s="8"/>
      <c r="HO40" s="8"/>
      <c r="HP40" s="8"/>
      <c r="HQ40" s="8"/>
      <c r="HR40" s="8"/>
      <c r="HS40" s="8"/>
      <c r="HT40" s="8"/>
      <c r="HU40" s="8"/>
      <c r="HV40" s="8"/>
      <c r="HW40" s="8"/>
      <c r="HX40" s="8"/>
      <c r="HY40" s="8"/>
      <c r="HZ40" s="8"/>
      <c r="IA40" s="8"/>
      <c r="IB40" s="8"/>
      <c r="IC40" s="8"/>
      <c r="ID40" s="8"/>
      <c r="IE40" s="8"/>
      <c r="IF40" s="8"/>
      <c r="IG40" s="8"/>
      <c r="IH40" s="8"/>
      <c r="II40" s="8"/>
      <c r="IJ40" s="8"/>
      <c r="IK40" s="8"/>
      <c r="IL40" s="8"/>
      <c r="IM40" s="8"/>
    </row>
    <row r="41" spans="1:247" x14ac:dyDescent="0.25">
      <c r="A41" s="4">
        <v>1765</v>
      </c>
      <c r="B41" s="9" t="s">
        <v>53</v>
      </c>
      <c r="C41" s="10" t="s">
        <v>11</v>
      </c>
      <c r="D41" s="1721" t="s">
        <v>3060</v>
      </c>
      <c r="E41" s="1728"/>
      <c r="F41" s="1723">
        <f t="shared" si="0"/>
        <v>1.0209999999999999</v>
      </c>
      <c r="G41" s="1729">
        <f t="shared" si="7"/>
        <v>1.0269999999999999</v>
      </c>
      <c r="H41" s="1728"/>
      <c r="I41" s="1730"/>
      <c r="J41" s="1730"/>
      <c r="K41" s="1730"/>
      <c r="L41" s="1730"/>
      <c r="M41" s="1730"/>
      <c r="N41" s="1729"/>
      <c r="O41" s="1731"/>
      <c r="P41" s="1728"/>
      <c r="Q41" s="1729"/>
      <c r="R41" s="1732">
        <f t="shared" si="1"/>
        <v>1.0485669999999998</v>
      </c>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row>
    <row r="42" spans="1:247" x14ac:dyDescent="0.25">
      <c r="A42" s="4">
        <v>1766</v>
      </c>
      <c r="B42" s="9" t="s">
        <v>54</v>
      </c>
      <c r="C42" s="10" t="s">
        <v>11</v>
      </c>
      <c r="D42" s="1721" t="s">
        <v>3060</v>
      </c>
      <c r="E42" s="1728"/>
      <c r="F42" s="1723">
        <f t="shared" si="0"/>
        <v>1.0209999999999999</v>
      </c>
      <c r="G42" s="1729">
        <f t="shared" si="7"/>
        <v>1.0269999999999999</v>
      </c>
      <c r="H42" s="1728"/>
      <c r="I42" s="1730"/>
      <c r="J42" s="1730"/>
      <c r="K42" s="1730"/>
      <c r="L42" s="1730"/>
      <c r="M42" s="1730"/>
      <c r="N42" s="1729"/>
      <c r="O42" s="1731"/>
      <c r="P42" s="1728"/>
      <c r="Q42" s="1729"/>
      <c r="R42" s="1732">
        <f t="shared" si="1"/>
        <v>1.0485669999999998</v>
      </c>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row>
    <row r="43" spans="1:247" x14ac:dyDescent="0.25">
      <c r="A43" s="4">
        <v>1767</v>
      </c>
      <c r="B43" s="9" t="s">
        <v>55</v>
      </c>
      <c r="C43" s="10" t="s">
        <v>11</v>
      </c>
      <c r="D43" s="1721" t="s">
        <v>3060</v>
      </c>
      <c r="E43" s="1728"/>
      <c r="F43" s="1723">
        <f t="shared" si="0"/>
        <v>1.0209999999999999</v>
      </c>
      <c r="G43" s="1729">
        <f t="shared" si="7"/>
        <v>1.0269999999999999</v>
      </c>
      <c r="H43" s="1728"/>
      <c r="I43" s="1730"/>
      <c r="J43" s="1730"/>
      <c r="K43" s="1730"/>
      <c r="L43" s="1730"/>
      <c r="M43" s="1730"/>
      <c r="N43" s="1729"/>
      <c r="O43" s="1731"/>
      <c r="P43" s="1728"/>
      <c r="Q43" s="1729"/>
      <c r="R43" s="1732">
        <f t="shared" si="1"/>
        <v>1.0485669999999998</v>
      </c>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row>
    <row r="44" spans="1:247" x14ac:dyDescent="0.25">
      <c r="A44" s="4">
        <v>1768</v>
      </c>
      <c r="B44" s="9" t="s">
        <v>56</v>
      </c>
      <c r="C44" s="10" t="s">
        <v>11</v>
      </c>
      <c r="D44" s="1721" t="s">
        <v>3060</v>
      </c>
      <c r="E44" s="1728"/>
      <c r="F44" s="1723">
        <f t="shared" si="0"/>
        <v>1.0209999999999999</v>
      </c>
      <c r="G44" s="1729">
        <f t="shared" si="7"/>
        <v>1.0269999999999999</v>
      </c>
      <c r="H44" s="1728"/>
      <c r="I44" s="1730"/>
      <c r="J44" s="1730"/>
      <c r="K44" s="1730"/>
      <c r="L44" s="1730"/>
      <c r="M44" s="1730"/>
      <c r="N44" s="1729"/>
      <c r="O44" s="1731"/>
      <c r="P44" s="1728"/>
      <c r="Q44" s="1729"/>
      <c r="R44" s="1732">
        <f t="shared" si="1"/>
        <v>1.0485669999999998</v>
      </c>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row>
    <row r="45" spans="1:247" x14ac:dyDescent="0.25">
      <c r="A45" s="4">
        <v>1769</v>
      </c>
      <c r="B45" s="9" t="s">
        <v>57</v>
      </c>
      <c r="C45" s="10" t="s">
        <v>11</v>
      </c>
      <c r="D45" s="1721" t="s">
        <v>3060</v>
      </c>
      <c r="E45" s="1728"/>
      <c r="F45" s="1723">
        <f t="shared" si="0"/>
        <v>1.0209999999999999</v>
      </c>
      <c r="G45" s="1729">
        <f t="shared" si="7"/>
        <v>1.0269999999999999</v>
      </c>
      <c r="H45" s="1728"/>
      <c r="I45" s="1730"/>
      <c r="J45" s="1730"/>
      <c r="K45" s="1730"/>
      <c r="L45" s="1730"/>
      <c r="M45" s="1730"/>
      <c r="N45" s="1729"/>
      <c r="O45" s="1731"/>
      <c r="P45" s="1728"/>
      <c r="Q45" s="1729"/>
      <c r="R45" s="1732">
        <f t="shared" si="1"/>
        <v>1.0485669999999998</v>
      </c>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row>
    <row r="46" spans="1:247" x14ac:dyDescent="0.25">
      <c r="A46" s="4">
        <v>1771</v>
      </c>
      <c r="B46" s="9" t="s">
        <v>58</v>
      </c>
      <c r="C46" s="10" t="s">
        <v>50</v>
      </c>
      <c r="D46" s="1721" t="s">
        <v>3060</v>
      </c>
      <c r="E46" s="1728"/>
      <c r="F46" s="1723">
        <f t="shared" si="0"/>
        <v>1.0209999999999999</v>
      </c>
      <c r="G46" s="1729">
        <f t="shared" si="7"/>
        <v>1.0269999999999999</v>
      </c>
      <c r="H46" s="1728"/>
      <c r="I46" s="1730"/>
      <c r="J46" s="1730"/>
      <c r="K46" s="1730"/>
      <c r="L46" s="1730"/>
      <c r="M46" s="1730"/>
      <c r="N46" s="1729"/>
      <c r="O46" s="1731"/>
      <c r="P46" s="1728">
        <f>+$P$3</f>
        <v>1.032</v>
      </c>
      <c r="Q46" s="1729"/>
      <c r="R46" s="1732">
        <f t="shared" si="1"/>
        <v>1.0821211439999998</v>
      </c>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row>
    <row r="47" spans="1:247" x14ac:dyDescent="0.25">
      <c r="A47" s="4">
        <v>1772</v>
      </c>
      <c r="B47" s="9" t="s">
        <v>59</v>
      </c>
      <c r="C47" s="10" t="s">
        <v>11</v>
      </c>
      <c r="D47" s="1721" t="s">
        <v>3060</v>
      </c>
      <c r="E47" s="1728"/>
      <c r="F47" s="1723">
        <f t="shared" si="0"/>
        <v>1.0209999999999999</v>
      </c>
      <c r="G47" s="1729">
        <f t="shared" si="7"/>
        <v>1.0269999999999999</v>
      </c>
      <c r="H47" s="1728"/>
      <c r="I47" s="1730"/>
      <c r="J47" s="1730"/>
      <c r="K47" s="1730"/>
      <c r="L47" s="1730"/>
      <c r="M47" s="1730"/>
      <c r="N47" s="1729"/>
      <c r="O47" s="1731"/>
      <c r="P47" s="1728">
        <f>+$P$3</f>
        <v>1.032</v>
      </c>
      <c r="Q47" s="1729"/>
      <c r="R47" s="1732">
        <f t="shared" si="1"/>
        <v>1.0821211439999998</v>
      </c>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row>
    <row r="48" spans="1:247" x14ac:dyDescent="0.25">
      <c r="A48" s="4">
        <v>1773</v>
      </c>
      <c r="B48" s="9" t="s">
        <v>60</v>
      </c>
      <c r="C48" s="10" t="s">
        <v>50</v>
      </c>
      <c r="D48" s="1721" t="s">
        <v>3060</v>
      </c>
      <c r="E48" s="1728"/>
      <c r="F48" s="1723">
        <f t="shared" si="0"/>
        <v>1.0209999999999999</v>
      </c>
      <c r="G48" s="1729">
        <f t="shared" si="7"/>
        <v>1.0269999999999999</v>
      </c>
      <c r="H48" s="1728"/>
      <c r="I48" s="1730"/>
      <c r="J48" s="1730"/>
      <c r="K48" s="1730"/>
      <c r="L48" s="1730"/>
      <c r="M48" s="1730"/>
      <c r="N48" s="1729"/>
      <c r="O48" s="1731"/>
      <c r="P48" s="1728"/>
      <c r="Q48" s="1729"/>
      <c r="R48" s="1732">
        <f t="shared" si="1"/>
        <v>1.0485669999999998</v>
      </c>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row>
    <row r="49" spans="1:247" x14ac:dyDescent="0.25">
      <c r="A49" s="4">
        <v>1774</v>
      </c>
      <c r="B49" s="9" t="s">
        <v>61</v>
      </c>
      <c r="C49" s="10" t="s">
        <v>11</v>
      </c>
      <c r="D49" s="1721" t="s">
        <v>3060</v>
      </c>
      <c r="E49" s="1728"/>
      <c r="F49" s="1723">
        <f t="shared" si="0"/>
        <v>1.0209999999999999</v>
      </c>
      <c r="G49" s="1729">
        <f t="shared" si="7"/>
        <v>1.0269999999999999</v>
      </c>
      <c r="H49" s="1728"/>
      <c r="I49" s="1730"/>
      <c r="J49" s="1730"/>
      <c r="K49" s="1730"/>
      <c r="L49" s="1730"/>
      <c r="M49" s="1730"/>
      <c r="N49" s="1729"/>
      <c r="O49" s="1731"/>
      <c r="P49" s="1728"/>
      <c r="Q49" s="1729"/>
      <c r="R49" s="1732">
        <f t="shared" si="1"/>
        <v>1.0485669999999998</v>
      </c>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row>
    <row r="50" spans="1:247" x14ac:dyDescent="0.25">
      <c r="A50" s="4">
        <v>1775</v>
      </c>
      <c r="B50" s="9" t="s">
        <v>62</v>
      </c>
      <c r="C50" s="10" t="s">
        <v>11</v>
      </c>
      <c r="D50" s="1721" t="s">
        <v>3060</v>
      </c>
      <c r="E50" s="1728"/>
      <c r="F50" s="1723">
        <f t="shared" si="0"/>
        <v>1.0209999999999999</v>
      </c>
      <c r="G50" s="1729">
        <f t="shared" si="7"/>
        <v>1.0269999999999999</v>
      </c>
      <c r="H50" s="1728"/>
      <c r="I50" s="1730"/>
      <c r="J50" s="1730"/>
      <c r="K50" s="1730"/>
      <c r="L50" s="1730"/>
      <c r="M50" s="1730"/>
      <c r="N50" s="1729"/>
      <c r="O50" s="1731"/>
      <c r="P50" s="1728"/>
      <c r="Q50" s="1729"/>
      <c r="R50" s="1732">
        <f t="shared" si="1"/>
        <v>1.0485669999999998</v>
      </c>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c r="ED50" s="8"/>
      <c r="EE50" s="8"/>
      <c r="EF50" s="8"/>
      <c r="EG50" s="8"/>
      <c r="EH50" s="8"/>
      <c r="EI50" s="8"/>
      <c r="EJ50" s="8"/>
      <c r="EK50" s="8"/>
      <c r="EL50" s="8"/>
      <c r="EM50" s="8"/>
      <c r="EN50" s="8"/>
      <c r="EO50" s="8"/>
      <c r="EP50" s="8"/>
      <c r="EQ50" s="8"/>
      <c r="ER50" s="8"/>
      <c r="ES50" s="8"/>
      <c r="ET50" s="8"/>
      <c r="EU50" s="8"/>
      <c r="EV50" s="8"/>
      <c r="EW50" s="8"/>
      <c r="EX50" s="8"/>
      <c r="EY50" s="8"/>
      <c r="EZ50" s="8"/>
      <c r="FA50" s="8"/>
      <c r="FB50" s="8"/>
      <c r="FC50" s="8"/>
      <c r="FD50" s="8"/>
      <c r="FE50" s="8"/>
      <c r="FF50" s="8"/>
      <c r="FG50" s="8"/>
      <c r="FH50" s="8"/>
      <c r="FI50" s="8"/>
      <c r="FJ50" s="8"/>
      <c r="FK50" s="8"/>
      <c r="FL50" s="8"/>
      <c r="FM50" s="8"/>
      <c r="FN50" s="8"/>
      <c r="FO50" s="8"/>
      <c r="FP50" s="8"/>
      <c r="FQ50" s="8"/>
      <c r="FR50" s="8"/>
      <c r="FS50" s="8"/>
      <c r="FT50" s="8"/>
      <c r="FU50" s="8"/>
      <c r="FV50" s="8"/>
      <c r="FW50" s="8"/>
      <c r="FX50" s="8"/>
      <c r="FY50" s="8"/>
      <c r="FZ50" s="8"/>
      <c r="GA50" s="8"/>
      <c r="GB50" s="8"/>
      <c r="GC50" s="8"/>
      <c r="GD50" s="8"/>
      <c r="GE50" s="8"/>
      <c r="GF50" s="8"/>
      <c r="GG50" s="8"/>
      <c r="GH50" s="8"/>
      <c r="GI50" s="8"/>
      <c r="GJ50" s="8"/>
      <c r="GK50" s="8"/>
      <c r="GL50" s="8"/>
      <c r="GM50" s="8"/>
      <c r="GN50" s="8"/>
      <c r="GO50" s="8"/>
      <c r="GP50" s="8"/>
      <c r="GQ50" s="8"/>
      <c r="GR50" s="8"/>
      <c r="GS50" s="8"/>
      <c r="GT50" s="8"/>
      <c r="GU50" s="8"/>
      <c r="GV50" s="8"/>
      <c r="GW50" s="8"/>
      <c r="GX50" s="8"/>
      <c r="GY50" s="8"/>
      <c r="GZ50" s="8"/>
      <c r="HA50" s="8"/>
      <c r="HB50" s="8"/>
      <c r="HC50" s="8"/>
      <c r="HD50" s="8"/>
      <c r="HE50" s="8"/>
      <c r="HF50" s="8"/>
      <c r="HG50" s="8"/>
      <c r="HH50" s="8"/>
      <c r="HI50" s="8"/>
      <c r="HJ50" s="8"/>
      <c r="HK50" s="8"/>
      <c r="HL50" s="8"/>
      <c r="HM50" s="8"/>
      <c r="HN50" s="8"/>
      <c r="HO50" s="8"/>
      <c r="HP50" s="8"/>
      <c r="HQ50" s="8"/>
      <c r="HR50" s="8"/>
      <c r="HS50" s="8"/>
      <c r="HT50" s="8"/>
      <c r="HU50" s="8"/>
      <c r="HV50" s="8"/>
      <c r="HW50" s="8"/>
      <c r="HX50" s="8"/>
      <c r="HY50" s="8"/>
      <c r="HZ50" s="8"/>
      <c r="IA50" s="8"/>
      <c r="IB50" s="8"/>
      <c r="IC50" s="8"/>
      <c r="ID50" s="8"/>
      <c r="IE50" s="8"/>
      <c r="IF50" s="8"/>
      <c r="IG50" s="8"/>
      <c r="IH50" s="8"/>
      <c r="II50" s="8"/>
      <c r="IJ50" s="8"/>
      <c r="IK50" s="8"/>
      <c r="IL50" s="8"/>
      <c r="IM50" s="8"/>
    </row>
    <row r="51" spans="1:247" x14ac:dyDescent="0.25">
      <c r="A51" s="4">
        <v>1776</v>
      </c>
      <c r="B51" s="9" t="s">
        <v>63</v>
      </c>
      <c r="C51" s="10" t="s">
        <v>11</v>
      </c>
      <c r="D51" s="1721" t="s">
        <v>3060</v>
      </c>
      <c r="E51" s="1728"/>
      <c r="F51" s="1723">
        <f t="shared" si="0"/>
        <v>1.0209999999999999</v>
      </c>
      <c r="G51" s="1729">
        <f t="shared" si="7"/>
        <v>1.0269999999999999</v>
      </c>
      <c r="H51" s="1728"/>
      <c r="I51" s="1730"/>
      <c r="J51" s="1730"/>
      <c r="K51" s="1730"/>
      <c r="L51" s="1730"/>
      <c r="M51" s="1730"/>
      <c r="N51" s="1729"/>
      <c r="O51" s="1731"/>
      <c r="P51" s="1728">
        <f>+$P$3</f>
        <v>1.032</v>
      </c>
      <c r="Q51" s="1729"/>
      <c r="R51" s="1732">
        <f t="shared" si="1"/>
        <v>1.0821211439999998</v>
      </c>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c r="ED51" s="8"/>
      <c r="EE51" s="8"/>
      <c r="EF51" s="8"/>
      <c r="EG51" s="8"/>
      <c r="EH51" s="8"/>
      <c r="EI51" s="8"/>
      <c r="EJ51" s="8"/>
      <c r="EK51" s="8"/>
      <c r="EL51" s="8"/>
      <c r="EM51" s="8"/>
      <c r="EN51" s="8"/>
      <c r="EO51" s="8"/>
      <c r="EP51" s="8"/>
      <c r="EQ51" s="8"/>
      <c r="ER51" s="8"/>
      <c r="ES51" s="8"/>
      <c r="ET51" s="8"/>
      <c r="EU51" s="8"/>
      <c r="EV51" s="8"/>
      <c r="EW51" s="8"/>
      <c r="EX51" s="8"/>
      <c r="EY51" s="8"/>
      <c r="EZ51" s="8"/>
      <c r="FA51" s="8"/>
      <c r="FB51" s="8"/>
      <c r="FC51" s="8"/>
      <c r="FD51" s="8"/>
      <c r="FE51" s="8"/>
      <c r="FF51" s="8"/>
      <c r="FG51" s="8"/>
      <c r="FH51" s="8"/>
      <c r="FI51" s="8"/>
      <c r="FJ51" s="8"/>
      <c r="FK51" s="8"/>
      <c r="FL51" s="8"/>
      <c r="FM51" s="8"/>
      <c r="FN51" s="8"/>
      <c r="FO51" s="8"/>
      <c r="FP51" s="8"/>
      <c r="FQ51" s="8"/>
      <c r="FR51" s="8"/>
      <c r="FS51" s="8"/>
      <c r="FT51" s="8"/>
      <c r="FU51" s="8"/>
      <c r="FV51" s="8"/>
      <c r="FW51" s="8"/>
      <c r="FX51" s="8"/>
      <c r="FY51" s="8"/>
      <c r="FZ51" s="8"/>
      <c r="GA51" s="8"/>
      <c r="GB51" s="8"/>
      <c r="GC51" s="8"/>
      <c r="GD51" s="8"/>
      <c r="GE51" s="8"/>
      <c r="GF51" s="8"/>
      <c r="GG51" s="8"/>
      <c r="GH51" s="8"/>
      <c r="GI51" s="8"/>
      <c r="GJ51" s="8"/>
      <c r="GK51" s="8"/>
      <c r="GL51" s="8"/>
      <c r="GM51" s="8"/>
      <c r="GN51" s="8"/>
      <c r="GO51" s="8"/>
      <c r="GP51" s="8"/>
      <c r="GQ51" s="8"/>
      <c r="GR51" s="8"/>
      <c r="GS51" s="8"/>
      <c r="GT51" s="8"/>
      <c r="GU51" s="8"/>
      <c r="GV51" s="8"/>
      <c r="GW51" s="8"/>
      <c r="GX51" s="8"/>
      <c r="GY51" s="8"/>
      <c r="GZ51" s="8"/>
      <c r="HA51" s="8"/>
      <c r="HB51" s="8"/>
      <c r="HC51" s="8"/>
      <c r="HD51" s="8"/>
      <c r="HE51" s="8"/>
      <c r="HF51" s="8"/>
      <c r="HG51" s="8"/>
      <c r="HH51" s="8"/>
      <c r="HI51" s="8"/>
      <c r="HJ51" s="8"/>
      <c r="HK51" s="8"/>
      <c r="HL51" s="8"/>
      <c r="HM51" s="8"/>
      <c r="HN51" s="8"/>
      <c r="HO51" s="8"/>
      <c r="HP51" s="8"/>
      <c r="HQ51" s="8"/>
      <c r="HR51" s="8"/>
      <c r="HS51" s="8"/>
      <c r="HT51" s="8"/>
      <c r="HU51" s="8"/>
      <c r="HV51" s="8"/>
      <c r="HW51" s="8"/>
      <c r="HX51" s="8"/>
      <c r="HY51" s="8"/>
      <c r="HZ51" s="8"/>
      <c r="IA51" s="8"/>
      <c r="IB51" s="8"/>
      <c r="IC51" s="8"/>
      <c r="ID51" s="8"/>
      <c r="IE51" s="8"/>
      <c r="IF51" s="8"/>
      <c r="IG51" s="8"/>
      <c r="IH51" s="8"/>
      <c r="II51" s="8"/>
      <c r="IJ51" s="8"/>
      <c r="IK51" s="8"/>
      <c r="IL51" s="8"/>
      <c r="IM51" s="8"/>
    </row>
    <row r="52" spans="1:247" x14ac:dyDescent="0.25">
      <c r="A52" s="4">
        <v>1777</v>
      </c>
      <c r="B52" s="9" t="s">
        <v>64</v>
      </c>
      <c r="C52" s="10" t="s">
        <v>38</v>
      </c>
      <c r="D52" s="1721" t="s">
        <v>3060</v>
      </c>
      <c r="E52" s="1728"/>
      <c r="F52" s="1723">
        <f t="shared" si="0"/>
        <v>1.0209999999999999</v>
      </c>
      <c r="G52" s="1729">
        <f t="shared" si="7"/>
        <v>1.0269999999999999</v>
      </c>
      <c r="H52" s="1728"/>
      <c r="I52" s="1730"/>
      <c r="J52" s="1730"/>
      <c r="K52" s="1730"/>
      <c r="L52" s="1730"/>
      <c r="M52" s="1730"/>
      <c r="N52" s="1729"/>
      <c r="O52" s="1731"/>
      <c r="P52" s="1728"/>
      <c r="Q52" s="1729"/>
      <c r="R52" s="1732">
        <f t="shared" si="1"/>
        <v>1.0485669999999998</v>
      </c>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row>
    <row r="53" spans="1:247" x14ac:dyDescent="0.25">
      <c r="A53" s="4">
        <v>1781</v>
      </c>
      <c r="B53" s="9" t="s">
        <v>65</v>
      </c>
      <c r="C53" s="10" t="s">
        <v>38</v>
      </c>
      <c r="D53" s="1721" t="s">
        <v>3060</v>
      </c>
      <c r="E53" s="1728"/>
      <c r="F53" s="1723">
        <f t="shared" si="0"/>
        <v>1.0209999999999999</v>
      </c>
      <c r="G53" s="1729">
        <f t="shared" si="7"/>
        <v>1.0269999999999999</v>
      </c>
      <c r="H53" s="1728"/>
      <c r="I53" s="1730"/>
      <c r="J53" s="1730"/>
      <c r="K53" s="1730"/>
      <c r="L53" s="1730"/>
      <c r="M53" s="1730"/>
      <c r="N53" s="1729"/>
      <c r="O53" s="1731"/>
      <c r="P53" s="1728"/>
      <c r="Q53" s="1729"/>
      <c r="R53" s="1732">
        <f t="shared" si="1"/>
        <v>1.0485669999999998</v>
      </c>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row>
    <row r="54" spans="1:247" x14ac:dyDescent="0.25">
      <c r="A54" s="4">
        <v>1782</v>
      </c>
      <c r="B54" s="9" t="s">
        <v>66</v>
      </c>
      <c r="C54" s="10" t="s">
        <v>38</v>
      </c>
      <c r="D54" s="1721" t="s">
        <v>3060</v>
      </c>
      <c r="E54" s="1728"/>
      <c r="F54" s="1723">
        <f t="shared" si="0"/>
        <v>1.0209999999999999</v>
      </c>
      <c r="G54" s="1729">
        <f t="shared" si="7"/>
        <v>1.0269999999999999</v>
      </c>
      <c r="H54" s="1728"/>
      <c r="I54" s="1730"/>
      <c r="J54" s="1730"/>
      <c r="K54" s="1730"/>
      <c r="L54" s="1730"/>
      <c r="M54" s="1730"/>
      <c r="N54" s="1729"/>
      <c r="O54" s="1731"/>
      <c r="P54" s="1728"/>
      <c r="Q54" s="1729"/>
      <c r="R54" s="1732">
        <f t="shared" si="1"/>
        <v>1.0485669999999998</v>
      </c>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c r="ED54" s="8"/>
      <c r="EE54" s="8"/>
      <c r="EF54" s="8"/>
      <c r="EG54" s="8"/>
      <c r="EH54" s="8"/>
      <c r="EI54" s="8"/>
      <c r="EJ54" s="8"/>
      <c r="EK54" s="8"/>
      <c r="EL54" s="8"/>
      <c r="EM54" s="8"/>
      <c r="EN54" s="8"/>
      <c r="EO54" s="8"/>
      <c r="EP54" s="8"/>
      <c r="EQ54" s="8"/>
      <c r="ER54" s="8"/>
      <c r="ES54" s="8"/>
      <c r="ET54" s="8"/>
      <c r="EU54" s="8"/>
      <c r="EV54" s="8"/>
      <c r="EW54" s="8"/>
      <c r="EX54" s="8"/>
      <c r="EY54" s="8"/>
      <c r="EZ54" s="8"/>
      <c r="FA54" s="8"/>
      <c r="FB54" s="8"/>
      <c r="FC54" s="8"/>
      <c r="FD54" s="8"/>
      <c r="FE54" s="8"/>
      <c r="FF54" s="8"/>
      <c r="FG54" s="8"/>
      <c r="FH54" s="8"/>
      <c r="FI54" s="8"/>
      <c r="FJ54" s="8"/>
      <c r="FK54" s="8"/>
      <c r="FL54" s="8"/>
      <c r="FM54" s="8"/>
      <c r="FN54" s="8"/>
      <c r="FO54" s="8"/>
      <c r="FP54" s="8"/>
      <c r="FQ54" s="8"/>
      <c r="FR54" s="8"/>
      <c r="FS54" s="8"/>
      <c r="FT54" s="8"/>
      <c r="FU54" s="8"/>
      <c r="FV54" s="8"/>
      <c r="FW54" s="8"/>
      <c r="FX54" s="8"/>
      <c r="FY54" s="8"/>
      <c r="FZ54" s="8"/>
      <c r="GA54" s="8"/>
      <c r="GB54" s="8"/>
      <c r="GC54" s="8"/>
      <c r="GD54" s="8"/>
      <c r="GE54" s="8"/>
      <c r="GF54" s="8"/>
      <c r="GG54" s="8"/>
      <c r="GH54" s="8"/>
      <c r="GI54" s="8"/>
      <c r="GJ54" s="8"/>
      <c r="GK54" s="8"/>
      <c r="GL54" s="8"/>
      <c r="GM54" s="8"/>
      <c r="GN54" s="8"/>
      <c r="GO54" s="8"/>
      <c r="GP54" s="8"/>
      <c r="GQ54" s="8"/>
      <c r="GR54" s="8"/>
      <c r="GS54" s="8"/>
      <c r="GT54" s="8"/>
      <c r="GU54" s="8"/>
      <c r="GV54" s="8"/>
      <c r="GW54" s="8"/>
      <c r="GX54" s="8"/>
      <c r="GY54" s="8"/>
      <c r="GZ54" s="8"/>
      <c r="HA54" s="8"/>
      <c r="HB54" s="8"/>
      <c r="HC54" s="8"/>
      <c r="HD54" s="8"/>
      <c r="HE54" s="8"/>
      <c r="HF54" s="8"/>
      <c r="HG54" s="8"/>
      <c r="HH54" s="8"/>
      <c r="HI54" s="8"/>
      <c r="HJ54" s="8"/>
      <c r="HK54" s="8"/>
      <c r="HL54" s="8"/>
      <c r="HM54" s="8"/>
      <c r="HN54" s="8"/>
      <c r="HO54" s="8"/>
      <c r="HP54" s="8"/>
      <c r="HQ54" s="8"/>
      <c r="HR54" s="8"/>
      <c r="HS54" s="8"/>
      <c r="HT54" s="8"/>
      <c r="HU54" s="8"/>
      <c r="HV54" s="8"/>
      <c r="HW54" s="8"/>
      <c r="HX54" s="8"/>
      <c r="HY54" s="8"/>
      <c r="HZ54" s="8"/>
      <c r="IA54" s="8"/>
      <c r="IB54" s="8"/>
      <c r="IC54" s="8"/>
      <c r="ID54" s="8"/>
      <c r="IE54" s="8"/>
      <c r="IF54" s="8"/>
      <c r="IG54" s="8"/>
      <c r="IH54" s="8"/>
      <c r="II54" s="8"/>
      <c r="IJ54" s="8"/>
      <c r="IK54" s="8"/>
      <c r="IL54" s="8"/>
      <c r="IM54" s="8"/>
    </row>
    <row r="55" spans="1:247" x14ac:dyDescent="0.25">
      <c r="A55" s="4">
        <v>1783</v>
      </c>
      <c r="B55" s="9" t="s">
        <v>67</v>
      </c>
      <c r="C55" s="10" t="s">
        <v>38</v>
      </c>
      <c r="D55" s="1721" t="s">
        <v>3060</v>
      </c>
      <c r="E55" s="1728"/>
      <c r="F55" s="1723">
        <f t="shared" si="0"/>
        <v>1.0209999999999999</v>
      </c>
      <c r="G55" s="1729">
        <f t="shared" si="7"/>
        <v>1.0269999999999999</v>
      </c>
      <c r="H55" s="1728"/>
      <c r="I55" s="1730"/>
      <c r="J55" s="1730"/>
      <c r="K55" s="1730"/>
      <c r="L55" s="1730"/>
      <c r="M55" s="1730"/>
      <c r="N55" s="1729"/>
      <c r="O55" s="1731"/>
      <c r="P55" s="1728"/>
      <c r="Q55" s="1729"/>
      <c r="R55" s="1732">
        <f t="shared" si="1"/>
        <v>1.0485669999999998</v>
      </c>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c r="ED55" s="8"/>
      <c r="EE55" s="8"/>
      <c r="EF55" s="8"/>
      <c r="EG55" s="8"/>
      <c r="EH55" s="8"/>
      <c r="EI55" s="8"/>
      <c r="EJ55" s="8"/>
      <c r="EK55" s="8"/>
      <c r="EL55" s="8"/>
      <c r="EM55" s="8"/>
      <c r="EN55" s="8"/>
      <c r="EO55" s="8"/>
      <c r="EP55" s="8"/>
      <c r="EQ55" s="8"/>
      <c r="ER55" s="8"/>
      <c r="ES55" s="8"/>
      <c r="ET55" s="8"/>
      <c r="EU55" s="8"/>
      <c r="EV55" s="8"/>
      <c r="EW55" s="8"/>
      <c r="EX55" s="8"/>
      <c r="EY55" s="8"/>
      <c r="EZ55" s="8"/>
      <c r="FA55" s="8"/>
      <c r="FB55" s="8"/>
      <c r="FC55" s="8"/>
      <c r="FD55" s="8"/>
      <c r="FE55" s="8"/>
      <c r="FF55" s="8"/>
      <c r="FG55" s="8"/>
      <c r="FH55" s="8"/>
      <c r="FI55" s="8"/>
      <c r="FJ55" s="8"/>
      <c r="FK55" s="8"/>
      <c r="FL55" s="8"/>
      <c r="FM55" s="8"/>
      <c r="FN55" s="8"/>
      <c r="FO55" s="8"/>
      <c r="FP55" s="8"/>
      <c r="FQ55" s="8"/>
      <c r="FR55" s="8"/>
      <c r="FS55" s="8"/>
      <c r="FT55" s="8"/>
      <c r="FU55" s="8"/>
      <c r="FV55" s="8"/>
      <c r="FW55" s="8"/>
      <c r="FX55" s="8"/>
      <c r="FY55" s="8"/>
      <c r="FZ55" s="8"/>
      <c r="GA55" s="8"/>
      <c r="GB55" s="8"/>
      <c r="GC55" s="8"/>
      <c r="GD55" s="8"/>
      <c r="GE55" s="8"/>
      <c r="GF55" s="8"/>
      <c r="GG55" s="8"/>
      <c r="GH55" s="8"/>
      <c r="GI55" s="8"/>
      <c r="GJ55" s="8"/>
      <c r="GK55" s="8"/>
      <c r="GL55" s="8"/>
      <c r="GM55" s="8"/>
      <c r="GN55" s="8"/>
      <c r="GO55" s="8"/>
      <c r="GP55" s="8"/>
      <c r="GQ55" s="8"/>
      <c r="GR55" s="8"/>
      <c r="GS55" s="8"/>
      <c r="GT55" s="8"/>
      <c r="GU55" s="8"/>
      <c r="GV55" s="8"/>
      <c r="GW55" s="8"/>
      <c r="GX55" s="8"/>
      <c r="GY55" s="8"/>
      <c r="GZ55" s="8"/>
      <c r="HA55" s="8"/>
      <c r="HB55" s="8"/>
      <c r="HC55" s="8"/>
      <c r="HD55" s="8"/>
      <c r="HE55" s="8"/>
      <c r="HF55" s="8"/>
      <c r="HG55" s="8"/>
      <c r="HH55" s="8"/>
      <c r="HI55" s="8"/>
      <c r="HJ55" s="8"/>
      <c r="HK55" s="8"/>
      <c r="HL55" s="8"/>
      <c r="HM55" s="8"/>
      <c r="HN55" s="8"/>
      <c r="HO55" s="8"/>
      <c r="HP55" s="8"/>
      <c r="HQ55" s="8"/>
      <c r="HR55" s="8"/>
      <c r="HS55" s="8"/>
      <c r="HT55" s="8"/>
      <c r="HU55" s="8"/>
      <c r="HV55" s="8"/>
      <c r="HW55" s="8"/>
      <c r="HX55" s="8"/>
      <c r="HY55" s="8"/>
      <c r="HZ55" s="8"/>
      <c r="IA55" s="8"/>
      <c r="IB55" s="8"/>
      <c r="IC55" s="8"/>
      <c r="ID55" s="8"/>
      <c r="IE55" s="8"/>
      <c r="IF55" s="8"/>
      <c r="IG55" s="8"/>
      <c r="IH55" s="8"/>
      <c r="II55" s="8"/>
      <c r="IJ55" s="8"/>
      <c r="IK55" s="8"/>
      <c r="IL55" s="8"/>
      <c r="IM55" s="8"/>
    </row>
    <row r="56" spans="1:247" x14ac:dyDescent="0.25">
      <c r="A56" s="4">
        <v>1790</v>
      </c>
      <c r="B56" s="9" t="s">
        <v>68</v>
      </c>
      <c r="C56" s="10" t="s">
        <v>11</v>
      </c>
      <c r="D56" s="1721" t="s">
        <v>3060</v>
      </c>
      <c r="E56" s="1728"/>
      <c r="F56" s="1723">
        <f t="shared" si="0"/>
        <v>1.0209999999999999</v>
      </c>
      <c r="G56" s="1729">
        <f t="shared" si="7"/>
        <v>1.0269999999999999</v>
      </c>
      <c r="H56" s="1728"/>
      <c r="I56" s="1730"/>
      <c r="J56" s="1730"/>
      <c r="K56" s="1730"/>
      <c r="L56" s="1730"/>
      <c r="M56" s="1730"/>
      <c r="N56" s="1729"/>
      <c r="O56" s="1731"/>
      <c r="P56" s="1728"/>
      <c r="Q56" s="1729"/>
      <c r="R56" s="1732">
        <f t="shared" si="1"/>
        <v>1.0485669999999998</v>
      </c>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c r="ED56" s="8"/>
      <c r="EE56" s="8"/>
      <c r="EF56" s="8"/>
      <c r="EG56" s="8"/>
      <c r="EH56" s="8"/>
      <c r="EI56" s="8"/>
      <c r="EJ56" s="8"/>
      <c r="EK56" s="8"/>
      <c r="EL56" s="8"/>
      <c r="EM56" s="8"/>
      <c r="EN56" s="8"/>
      <c r="EO56" s="8"/>
      <c r="EP56" s="8"/>
      <c r="EQ56" s="8"/>
      <c r="ER56" s="8"/>
      <c r="ES56" s="8"/>
      <c r="ET56" s="8"/>
      <c r="EU56" s="8"/>
      <c r="EV56" s="8"/>
      <c r="EW56" s="8"/>
      <c r="EX56" s="8"/>
      <c r="EY56" s="8"/>
      <c r="EZ56" s="8"/>
      <c r="FA56" s="8"/>
      <c r="FB56" s="8"/>
      <c r="FC56" s="8"/>
      <c r="FD56" s="8"/>
      <c r="FE56" s="8"/>
      <c r="FF56" s="8"/>
      <c r="FG56" s="8"/>
      <c r="FH56" s="8"/>
      <c r="FI56" s="8"/>
      <c r="FJ56" s="8"/>
      <c r="FK56" s="8"/>
      <c r="FL56" s="8"/>
      <c r="FM56" s="8"/>
      <c r="FN56" s="8"/>
      <c r="FO56" s="8"/>
      <c r="FP56" s="8"/>
      <c r="FQ56" s="8"/>
      <c r="FR56" s="8"/>
      <c r="FS56" s="8"/>
      <c r="FT56" s="8"/>
      <c r="FU56" s="8"/>
      <c r="FV56" s="8"/>
      <c r="FW56" s="8"/>
      <c r="FX56" s="8"/>
      <c r="FY56" s="8"/>
      <c r="FZ56" s="8"/>
      <c r="GA56" s="8"/>
      <c r="GB56" s="8"/>
      <c r="GC56" s="8"/>
      <c r="GD56" s="8"/>
      <c r="GE56" s="8"/>
      <c r="GF56" s="8"/>
      <c r="GG56" s="8"/>
      <c r="GH56" s="8"/>
      <c r="GI56" s="8"/>
      <c r="GJ56" s="8"/>
      <c r="GK56" s="8"/>
      <c r="GL56" s="8"/>
      <c r="GM56" s="8"/>
      <c r="GN56" s="8"/>
      <c r="GO56" s="8"/>
      <c r="GP56" s="8"/>
      <c r="GQ56" s="8"/>
      <c r="GR56" s="8"/>
      <c r="GS56" s="8"/>
      <c r="GT56" s="8"/>
      <c r="GU56" s="8"/>
      <c r="GV56" s="8"/>
      <c r="GW56" s="8"/>
      <c r="GX56" s="8"/>
      <c r="GY56" s="8"/>
      <c r="GZ56" s="8"/>
      <c r="HA56" s="8"/>
      <c r="HB56" s="8"/>
      <c r="HC56" s="8"/>
      <c r="HD56" s="8"/>
      <c r="HE56" s="8"/>
      <c r="HF56" s="8"/>
      <c r="HG56" s="8"/>
      <c r="HH56" s="8"/>
      <c r="HI56" s="8"/>
      <c r="HJ56" s="8"/>
      <c r="HK56" s="8"/>
      <c r="HL56" s="8"/>
      <c r="HM56" s="8"/>
      <c r="HN56" s="8"/>
      <c r="HO56" s="8"/>
      <c r="HP56" s="8"/>
      <c r="HQ56" s="8"/>
      <c r="HR56" s="8"/>
      <c r="HS56" s="8"/>
      <c r="HT56" s="8"/>
      <c r="HU56" s="8"/>
      <c r="HV56" s="8"/>
      <c r="HW56" s="8"/>
      <c r="HX56" s="8"/>
      <c r="HY56" s="8"/>
      <c r="HZ56" s="8"/>
      <c r="IA56" s="8"/>
      <c r="IB56" s="8"/>
      <c r="IC56" s="8"/>
      <c r="ID56" s="8"/>
      <c r="IE56" s="8"/>
      <c r="IF56" s="8"/>
      <c r="IG56" s="8"/>
      <c r="IH56" s="8"/>
      <c r="II56" s="8"/>
      <c r="IJ56" s="8"/>
      <c r="IK56" s="8"/>
      <c r="IL56" s="8"/>
      <c r="IM56" s="8"/>
    </row>
    <row r="57" spans="1:247" x14ac:dyDescent="0.25">
      <c r="A57" s="4">
        <v>1791</v>
      </c>
      <c r="B57" s="9" t="s">
        <v>69</v>
      </c>
      <c r="C57" s="10" t="s">
        <v>11</v>
      </c>
      <c r="D57" s="1721" t="s">
        <v>3060</v>
      </c>
      <c r="E57" s="1728"/>
      <c r="F57" s="1723">
        <f t="shared" si="0"/>
        <v>1.0209999999999999</v>
      </c>
      <c r="G57" s="1729">
        <f t="shared" si="7"/>
        <v>1.0269999999999999</v>
      </c>
      <c r="H57" s="1728"/>
      <c r="I57" s="1730"/>
      <c r="J57" s="1730"/>
      <c r="K57" s="1730"/>
      <c r="L57" s="1730"/>
      <c r="M57" s="1730"/>
      <c r="N57" s="1729"/>
      <c r="O57" s="1731"/>
      <c r="P57" s="1728"/>
      <c r="Q57" s="1729"/>
      <c r="R57" s="1732">
        <f t="shared" si="1"/>
        <v>1.0485669999999998</v>
      </c>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c r="CH57" s="8"/>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8"/>
      <c r="DL57" s="8"/>
      <c r="DM57" s="8"/>
      <c r="DN57" s="8"/>
      <c r="DO57" s="8"/>
      <c r="DP57" s="8"/>
      <c r="DQ57" s="8"/>
      <c r="DR57" s="8"/>
      <c r="DS57" s="8"/>
      <c r="DT57" s="8"/>
      <c r="DU57" s="8"/>
      <c r="DV57" s="8"/>
      <c r="DW57" s="8"/>
      <c r="DX57" s="8"/>
      <c r="DY57" s="8"/>
      <c r="DZ57" s="8"/>
      <c r="EA57" s="8"/>
      <c r="EB57" s="8"/>
      <c r="EC57" s="8"/>
      <c r="ED57" s="8"/>
      <c r="EE57" s="8"/>
      <c r="EF57" s="8"/>
      <c r="EG57" s="8"/>
      <c r="EH57" s="8"/>
      <c r="EI57" s="8"/>
      <c r="EJ57" s="8"/>
      <c r="EK57" s="8"/>
      <c r="EL57" s="8"/>
      <c r="EM57" s="8"/>
      <c r="EN57" s="8"/>
      <c r="EO57" s="8"/>
      <c r="EP57" s="8"/>
      <c r="EQ57" s="8"/>
      <c r="ER57" s="8"/>
      <c r="ES57" s="8"/>
      <c r="ET57" s="8"/>
      <c r="EU57" s="8"/>
      <c r="EV57" s="8"/>
      <c r="EW57" s="8"/>
      <c r="EX57" s="8"/>
      <c r="EY57" s="8"/>
      <c r="EZ57" s="8"/>
      <c r="FA57" s="8"/>
      <c r="FB57" s="8"/>
      <c r="FC57" s="8"/>
      <c r="FD57" s="8"/>
      <c r="FE57" s="8"/>
      <c r="FF57" s="8"/>
      <c r="FG57" s="8"/>
      <c r="FH57" s="8"/>
      <c r="FI57" s="8"/>
      <c r="FJ57" s="8"/>
      <c r="FK57" s="8"/>
      <c r="FL57" s="8"/>
      <c r="FM57" s="8"/>
      <c r="FN57" s="8"/>
      <c r="FO57" s="8"/>
      <c r="FP57" s="8"/>
      <c r="FQ57" s="8"/>
      <c r="FR57" s="8"/>
      <c r="FS57" s="8"/>
      <c r="FT57" s="8"/>
      <c r="FU57" s="8"/>
      <c r="FV57" s="8"/>
      <c r="FW57" s="8"/>
      <c r="FX57" s="8"/>
      <c r="FY57" s="8"/>
      <c r="FZ57" s="8"/>
      <c r="GA57" s="8"/>
      <c r="GB57" s="8"/>
      <c r="GC57" s="8"/>
      <c r="GD57" s="8"/>
      <c r="GE57" s="8"/>
      <c r="GF57" s="8"/>
      <c r="GG57" s="8"/>
      <c r="GH57" s="8"/>
      <c r="GI57" s="8"/>
      <c r="GJ57" s="8"/>
      <c r="GK57" s="8"/>
      <c r="GL57" s="8"/>
      <c r="GM57" s="8"/>
      <c r="GN57" s="8"/>
      <c r="GO57" s="8"/>
      <c r="GP57" s="8"/>
      <c r="GQ57" s="8"/>
      <c r="GR57" s="8"/>
      <c r="GS57" s="8"/>
      <c r="GT57" s="8"/>
      <c r="GU57" s="8"/>
      <c r="GV57" s="8"/>
      <c r="GW57" s="8"/>
      <c r="GX57" s="8"/>
      <c r="GY57" s="8"/>
      <c r="GZ57" s="8"/>
      <c r="HA57" s="8"/>
      <c r="HB57" s="8"/>
      <c r="HC57" s="8"/>
      <c r="HD57" s="8"/>
      <c r="HE57" s="8"/>
      <c r="HF57" s="8"/>
      <c r="HG57" s="8"/>
      <c r="HH57" s="8"/>
      <c r="HI57" s="8"/>
      <c r="HJ57" s="8"/>
      <c r="HK57" s="8"/>
      <c r="HL57" s="8"/>
      <c r="HM57" s="8"/>
      <c r="HN57" s="8"/>
      <c r="HO57" s="8"/>
      <c r="HP57" s="8"/>
      <c r="HQ57" s="8"/>
      <c r="HR57" s="8"/>
      <c r="HS57" s="8"/>
      <c r="HT57" s="8"/>
      <c r="HU57" s="8"/>
      <c r="HV57" s="8"/>
      <c r="HW57" s="8"/>
      <c r="HX57" s="8"/>
      <c r="HY57" s="8"/>
      <c r="HZ57" s="8"/>
      <c r="IA57" s="8"/>
      <c r="IB57" s="8"/>
      <c r="IC57" s="8"/>
      <c r="ID57" s="8"/>
      <c r="IE57" s="8"/>
      <c r="IF57" s="8"/>
      <c r="IG57" s="8"/>
      <c r="IH57" s="8"/>
      <c r="II57" s="8"/>
      <c r="IJ57" s="8"/>
      <c r="IK57" s="8"/>
      <c r="IL57" s="8"/>
      <c r="IM57" s="8"/>
    </row>
    <row r="58" spans="1:247" x14ac:dyDescent="0.25">
      <c r="A58" s="4">
        <v>1792</v>
      </c>
      <c r="B58" s="9" t="s">
        <v>70</v>
      </c>
      <c r="C58" s="10" t="s">
        <v>11</v>
      </c>
      <c r="D58" s="1721" t="s">
        <v>3060</v>
      </c>
      <c r="E58" s="1728"/>
      <c r="F58" s="1723">
        <f t="shared" si="0"/>
        <v>1.0209999999999999</v>
      </c>
      <c r="G58" s="1729">
        <f t="shared" si="7"/>
        <v>1.0269999999999999</v>
      </c>
      <c r="H58" s="1728"/>
      <c r="I58" s="1730"/>
      <c r="J58" s="1730"/>
      <c r="K58" s="1730"/>
      <c r="L58" s="1730"/>
      <c r="M58" s="1730"/>
      <c r="N58" s="1729"/>
      <c r="O58" s="1731"/>
      <c r="P58" s="1728">
        <f>+$P$3</f>
        <v>1.032</v>
      </c>
      <c r="Q58" s="1729"/>
      <c r="R58" s="1732">
        <f t="shared" si="1"/>
        <v>1.0821211439999998</v>
      </c>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c r="CH58" s="8"/>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8"/>
      <c r="DL58" s="8"/>
      <c r="DM58" s="8"/>
      <c r="DN58" s="8"/>
      <c r="DO58" s="8"/>
      <c r="DP58" s="8"/>
      <c r="DQ58" s="8"/>
      <c r="DR58" s="8"/>
      <c r="DS58" s="8"/>
      <c r="DT58" s="8"/>
      <c r="DU58" s="8"/>
      <c r="DV58" s="8"/>
      <c r="DW58" s="8"/>
      <c r="DX58" s="8"/>
      <c r="DY58" s="8"/>
      <c r="DZ58" s="8"/>
      <c r="EA58" s="8"/>
      <c r="EB58" s="8"/>
      <c r="EC58" s="8"/>
      <c r="ED58" s="8"/>
      <c r="EE58" s="8"/>
      <c r="EF58" s="8"/>
      <c r="EG58" s="8"/>
      <c r="EH58" s="8"/>
      <c r="EI58" s="8"/>
      <c r="EJ58" s="8"/>
      <c r="EK58" s="8"/>
      <c r="EL58" s="8"/>
      <c r="EM58" s="8"/>
      <c r="EN58" s="8"/>
      <c r="EO58" s="8"/>
      <c r="EP58" s="8"/>
      <c r="EQ58" s="8"/>
      <c r="ER58" s="8"/>
      <c r="ES58" s="8"/>
      <c r="ET58" s="8"/>
      <c r="EU58" s="8"/>
      <c r="EV58" s="8"/>
      <c r="EW58" s="8"/>
      <c r="EX58" s="8"/>
      <c r="EY58" s="8"/>
      <c r="EZ58" s="8"/>
      <c r="FA58" s="8"/>
      <c r="FB58" s="8"/>
      <c r="FC58" s="8"/>
      <c r="FD58" s="8"/>
      <c r="FE58" s="8"/>
      <c r="FF58" s="8"/>
      <c r="FG58" s="8"/>
      <c r="FH58" s="8"/>
      <c r="FI58" s="8"/>
      <c r="FJ58" s="8"/>
      <c r="FK58" s="8"/>
      <c r="FL58" s="8"/>
      <c r="FM58" s="8"/>
      <c r="FN58" s="8"/>
      <c r="FO58" s="8"/>
      <c r="FP58" s="8"/>
      <c r="FQ58" s="8"/>
      <c r="FR58" s="8"/>
      <c r="FS58" s="8"/>
      <c r="FT58" s="8"/>
      <c r="FU58" s="8"/>
      <c r="FV58" s="8"/>
      <c r="FW58" s="8"/>
      <c r="FX58" s="8"/>
      <c r="FY58" s="8"/>
      <c r="FZ58" s="8"/>
      <c r="GA58" s="8"/>
      <c r="GB58" s="8"/>
      <c r="GC58" s="8"/>
      <c r="GD58" s="8"/>
      <c r="GE58" s="8"/>
      <c r="GF58" s="8"/>
      <c r="GG58" s="8"/>
      <c r="GH58" s="8"/>
      <c r="GI58" s="8"/>
      <c r="GJ58" s="8"/>
      <c r="GK58" s="8"/>
      <c r="GL58" s="8"/>
      <c r="GM58" s="8"/>
      <c r="GN58" s="8"/>
      <c r="GO58" s="8"/>
      <c r="GP58" s="8"/>
      <c r="GQ58" s="8"/>
      <c r="GR58" s="8"/>
      <c r="GS58" s="8"/>
      <c r="GT58" s="8"/>
      <c r="GU58" s="8"/>
      <c r="GV58" s="8"/>
      <c r="GW58" s="8"/>
      <c r="GX58" s="8"/>
      <c r="GY58" s="8"/>
      <c r="GZ58" s="8"/>
      <c r="HA58" s="8"/>
      <c r="HB58" s="8"/>
      <c r="HC58" s="8"/>
      <c r="HD58" s="8"/>
      <c r="HE58" s="8"/>
      <c r="HF58" s="8"/>
      <c r="HG58" s="8"/>
      <c r="HH58" s="8"/>
      <c r="HI58" s="8"/>
      <c r="HJ58" s="8"/>
      <c r="HK58" s="8"/>
      <c r="HL58" s="8"/>
      <c r="HM58" s="8"/>
      <c r="HN58" s="8"/>
      <c r="HO58" s="8"/>
      <c r="HP58" s="8"/>
      <c r="HQ58" s="8"/>
      <c r="HR58" s="8"/>
      <c r="HS58" s="8"/>
      <c r="HT58" s="8"/>
      <c r="HU58" s="8"/>
      <c r="HV58" s="8"/>
      <c r="HW58" s="8"/>
      <c r="HX58" s="8"/>
      <c r="HY58" s="8"/>
      <c r="HZ58" s="8"/>
      <c r="IA58" s="8"/>
      <c r="IB58" s="8"/>
      <c r="IC58" s="8"/>
      <c r="ID58" s="8"/>
      <c r="IE58" s="8"/>
      <c r="IF58" s="8"/>
      <c r="IG58" s="8"/>
      <c r="IH58" s="8"/>
      <c r="II58" s="8"/>
      <c r="IJ58" s="8"/>
      <c r="IK58" s="8"/>
      <c r="IL58" s="8"/>
      <c r="IM58" s="8"/>
    </row>
    <row r="59" spans="1:247" x14ac:dyDescent="0.25">
      <c r="A59" s="4">
        <v>1793</v>
      </c>
      <c r="B59" s="9" t="s">
        <v>71</v>
      </c>
      <c r="C59" s="10" t="s">
        <v>11</v>
      </c>
      <c r="D59" s="1721" t="s">
        <v>3060</v>
      </c>
      <c r="E59" s="1728"/>
      <c r="F59" s="1723">
        <f t="shared" si="0"/>
        <v>1.0209999999999999</v>
      </c>
      <c r="G59" s="1729">
        <f t="shared" si="7"/>
        <v>1.0269999999999999</v>
      </c>
      <c r="H59" s="1728"/>
      <c r="I59" s="1730"/>
      <c r="J59" s="1730"/>
      <c r="K59" s="1730"/>
      <c r="L59" s="1730"/>
      <c r="M59" s="1730"/>
      <c r="N59" s="1729"/>
      <c r="O59" s="1731"/>
      <c r="P59" s="1728"/>
      <c r="Q59" s="1729"/>
      <c r="R59" s="1732">
        <f t="shared" si="1"/>
        <v>1.0485669999999998</v>
      </c>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c r="CH59" s="8"/>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8"/>
      <c r="DL59" s="8"/>
      <c r="DM59" s="8"/>
      <c r="DN59" s="8"/>
      <c r="DO59" s="8"/>
      <c r="DP59" s="8"/>
      <c r="DQ59" s="8"/>
      <c r="DR59" s="8"/>
      <c r="DS59" s="8"/>
      <c r="DT59" s="8"/>
      <c r="DU59" s="8"/>
      <c r="DV59" s="8"/>
      <c r="DW59" s="8"/>
      <c r="DX59" s="8"/>
      <c r="DY59" s="8"/>
      <c r="DZ59" s="8"/>
      <c r="EA59" s="8"/>
      <c r="EB59" s="8"/>
      <c r="EC59" s="8"/>
      <c r="ED59" s="8"/>
      <c r="EE59" s="8"/>
      <c r="EF59" s="8"/>
      <c r="EG59" s="8"/>
      <c r="EH59" s="8"/>
      <c r="EI59" s="8"/>
      <c r="EJ59" s="8"/>
      <c r="EK59" s="8"/>
      <c r="EL59" s="8"/>
      <c r="EM59" s="8"/>
      <c r="EN59" s="8"/>
      <c r="EO59" s="8"/>
      <c r="EP59" s="8"/>
      <c r="EQ59" s="8"/>
      <c r="ER59" s="8"/>
      <c r="ES59" s="8"/>
      <c r="ET59" s="8"/>
      <c r="EU59" s="8"/>
      <c r="EV59" s="8"/>
      <c r="EW59" s="8"/>
      <c r="EX59" s="8"/>
      <c r="EY59" s="8"/>
      <c r="EZ59" s="8"/>
      <c r="FA59" s="8"/>
      <c r="FB59" s="8"/>
      <c r="FC59" s="8"/>
      <c r="FD59" s="8"/>
      <c r="FE59" s="8"/>
      <c r="FF59" s="8"/>
      <c r="FG59" s="8"/>
      <c r="FH59" s="8"/>
      <c r="FI59" s="8"/>
      <c r="FJ59" s="8"/>
      <c r="FK59" s="8"/>
      <c r="FL59" s="8"/>
      <c r="FM59" s="8"/>
      <c r="FN59" s="8"/>
      <c r="FO59" s="8"/>
      <c r="FP59" s="8"/>
      <c r="FQ59" s="8"/>
      <c r="FR59" s="8"/>
      <c r="FS59" s="8"/>
      <c r="FT59" s="8"/>
      <c r="FU59" s="8"/>
      <c r="FV59" s="8"/>
      <c r="FW59" s="8"/>
      <c r="FX59" s="8"/>
      <c r="FY59" s="8"/>
      <c r="FZ59" s="8"/>
      <c r="GA59" s="8"/>
      <c r="GB59" s="8"/>
      <c r="GC59" s="8"/>
      <c r="GD59" s="8"/>
      <c r="GE59" s="8"/>
      <c r="GF59" s="8"/>
      <c r="GG59" s="8"/>
      <c r="GH59" s="8"/>
      <c r="GI59" s="8"/>
      <c r="GJ59" s="8"/>
      <c r="GK59" s="8"/>
      <c r="GL59" s="8"/>
      <c r="GM59" s="8"/>
      <c r="GN59" s="8"/>
      <c r="GO59" s="8"/>
      <c r="GP59" s="8"/>
      <c r="GQ59" s="8"/>
      <c r="GR59" s="8"/>
      <c r="GS59" s="8"/>
      <c r="GT59" s="8"/>
      <c r="GU59" s="8"/>
      <c r="GV59" s="8"/>
      <c r="GW59" s="8"/>
      <c r="GX59" s="8"/>
      <c r="GY59" s="8"/>
      <c r="GZ59" s="8"/>
      <c r="HA59" s="8"/>
      <c r="HB59" s="8"/>
      <c r="HC59" s="8"/>
      <c r="HD59" s="8"/>
      <c r="HE59" s="8"/>
      <c r="HF59" s="8"/>
      <c r="HG59" s="8"/>
      <c r="HH59" s="8"/>
      <c r="HI59" s="8"/>
      <c r="HJ59" s="8"/>
      <c r="HK59" s="8"/>
      <c r="HL59" s="8"/>
      <c r="HM59" s="8"/>
      <c r="HN59" s="8"/>
      <c r="HO59" s="8"/>
      <c r="HP59" s="8"/>
      <c r="HQ59" s="8"/>
      <c r="HR59" s="8"/>
      <c r="HS59" s="8"/>
      <c r="HT59" s="8"/>
      <c r="HU59" s="8"/>
      <c r="HV59" s="8"/>
      <c r="HW59" s="8"/>
      <c r="HX59" s="8"/>
      <c r="HY59" s="8"/>
      <c r="HZ59" s="8"/>
      <c r="IA59" s="8"/>
      <c r="IB59" s="8"/>
      <c r="IC59" s="8"/>
      <c r="ID59" s="8"/>
      <c r="IE59" s="8"/>
      <c r="IF59" s="8"/>
      <c r="IG59" s="8"/>
      <c r="IH59" s="8"/>
      <c r="II59" s="8"/>
      <c r="IJ59" s="8"/>
      <c r="IK59" s="8"/>
      <c r="IL59" s="8"/>
      <c r="IM59" s="8"/>
    </row>
    <row r="60" spans="1:247" x14ac:dyDescent="0.25">
      <c r="A60" s="4">
        <v>1794</v>
      </c>
      <c r="B60" s="9" t="s">
        <v>72</v>
      </c>
      <c r="C60" s="10" t="s">
        <v>38</v>
      </c>
      <c r="D60" s="1721" t="s">
        <v>3060</v>
      </c>
      <c r="E60" s="1728"/>
      <c r="F60" s="1723">
        <f t="shared" si="0"/>
        <v>1.0209999999999999</v>
      </c>
      <c r="G60" s="1729">
        <f t="shared" si="7"/>
        <v>1.0269999999999999</v>
      </c>
      <c r="H60" s="1728"/>
      <c r="I60" s="1730"/>
      <c r="J60" s="1730"/>
      <c r="K60" s="1730"/>
      <c r="L60" s="1730"/>
      <c r="M60" s="1730"/>
      <c r="N60" s="1729"/>
      <c r="O60" s="1731"/>
      <c r="P60" s="1728"/>
      <c r="Q60" s="1729"/>
      <c r="R60" s="1732">
        <f t="shared" si="1"/>
        <v>1.0485669999999998</v>
      </c>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c r="CH60" s="8"/>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8"/>
      <c r="DL60" s="8"/>
      <c r="DM60" s="8"/>
      <c r="DN60" s="8"/>
      <c r="DO60" s="8"/>
      <c r="DP60" s="8"/>
      <c r="DQ60" s="8"/>
      <c r="DR60" s="8"/>
      <c r="DS60" s="8"/>
      <c r="DT60" s="8"/>
      <c r="DU60" s="8"/>
      <c r="DV60" s="8"/>
      <c r="DW60" s="8"/>
      <c r="DX60" s="8"/>
      <c r="DY60" s="8"/>
      <c r="DZ60" s="8"/>
      <c r="EA60" s="8"/>
      <c r="EB60" s="8"/>
      <c r="EC60" s="8"/>
      <c r="ED60" s="8"/>
      <c r="EE60" s="8"/>
      <c r="EF60" s="8"/>
      <c r="EG60" s="8"/>
      <c r="EH60" s="8"/>
      <c r="EI60" s="8"/>
      <c r="EJ60" s="8"/>
      <c r="EK60" s="8"/>
      <c r="EL60" s="8"/>
      <c r="EM60" s="8"/>
      <c r="EN60" s="8"/>
      <c r="EO60" s="8"/>
      <c r="EP60" s="8"/>
      <c r="EQ60" s="8"/>
      <c r="ER60" s="8"/>
      <c r="ES60" s="8"/>
      <c r="ET60" s="8"/>
      <c r="EU60" s="8"/>
      <c r="EV60" s="8"/>
      <c r="EW60" s="8"/>
      <c r="EX60" s="8"/>
      <c r="EY60" s="8"/>
      <c r="EZ60" s="8"/>
      <c r="FA60" s="8"/>
      <c r="FB60" s="8"/>
      <c r="FC60" s="8"/>
      <c r="FD60" s="8"/>
      <c r="FE60" s="8"/>
      <c r="FF60" s="8"/>
      <c r="FG60" s="8"/>
      <c r="FH60" s="8"/>
      <c r="FI60" s="8"/>
      <c r="FJ60" s="8"/>
      <c r="FK60" s="8"/>
      <c r="FL60" s="8"/>
      <c r="FM60" s="8"/>
      <c r="FN60" s="8"/>
      <c r="FO60" s="8"/>
      <c r="FP60" s="8"/>
      <c r="FQ60" s="8"/>
      <c r="FR60" s="8"/>
      <c r="FS60" s="8"/>
      <c r="FT60" s="8"/>
      <c r="FU60" s="8"/>
      <c r="FV60" s="8"/>
      <c r="FW60" s="8"/>
      <c r="FX60" s="8"/>
      <c r="FY60" s="8"/>
      <c r="FZ60" s="8"/>
      <c r="GA60" s="8"/>
      <c r="GB60" s="8"/>
      <c r="GC60" s="8"/>
      <c r="GD60" s="8"/>
      <c r="GE60" s="8"/>
      <c r="GF60" s="8"/>
      <c r="GG60" s="8"/>
      <c r="GH60" s="8"/>
      <c r="GI60" s="8"/>
      <c r="GJ60" s="8"/>
      <c r="GK60" s="8"/>
      <c r="GL60" s="8"/>
      <c r="GM60" s="8"/>
      <c r="GN60" s="8"/>
      <c r="GO60" s="8"/>
      <c r="GP60" s="8"/>
      <c r="GQ60" s="8"/>
      <c r="GR60" s="8"/>
      <c r="GS60" s="8"/>
      <c r="GT60" s="8"/>
      <c r="GU60" s="8"/>
      <c r="GV60" s="8"/>
      <c r="GW60" s="8"/>
      <c r="GX60" s="8"/>
      <c r="GY60" s="8"/>
      <c r="GZ60" s="8"/>
      <c r="HA60" s="8"/>
      <c r="HB60" s="8"/>
      <c r="HC60" s="8"/>
      <c r="HD60" s="8"/>
      <c r="HE60" s="8"/>
      <c r="HF60" s="8"/>
      <c r="HG60" s="8"/>
      <c r="HH60" s="8"/>
      <c r="HI60" s="8"/>
      <c r="HJ60" s="8"/>
      <c r="HK60" s="8"/>
      <c r="HL60" s="8"/>
      <c r="HM60" s="8"/>
      <c r="HN60" s="8"/>
      <c r="HO60" s="8"/>
      <c r="HP60" s="8"/>
      <c r="HQ60" s="8"/>
      <c r="HR60" s="8"/>
      <c r="HS60" s="8"/>
      <c r="HT60" s="8"/>
      <c r="HU60" s="8"/>
      <c r="HV60" s="8"/>
      <c r="HW60" s="8"/>
      <c r="HX60" s="8"/>
      <c r="HY60" s="8"/>
      <c r="HZ60" s="8"/>
      <c r="IA60" s="8"/>
      <c r="IB60" s="8"/>
      <c r="IC60" s="8"/>
      <c r="ID60" s="8"/>
      <c r="IE60" s="8"/>
      <c r="IF60" s="8"/>
      <c r="IG60" s="8"/>
      <c r="IH60" s="8"/>
      <c r="II60" s="8"/>
      <c r="IJ60" s="8"/>
      <c r="IK60" s="8"/>
      <c r="IL60" s="8"/>
      <c r="IM60" s="8"/>
    </row>
    <row r="61" spans="1:247" x14ac:dyDescent="0.25">
      <c r="A61" s="4">
        <v>1795</v>
      </c>
      <c r="B61" s="9" t="s">
        <v>73</v>
      </c>
      <c r="C61" s="10" t="s">
        <v>11</v>
      </c>
      <c r="D61" s="1721" t="s">
        <v>3060</v>
      </c>
      <c r="E61" s="1728"/>
      <c r="F61" s="1723">
        <f t="shared" si="0"/>
        <v>1.0209999999999999</v>
      </c>
      <c r="G61" s="1729">
        <f t="shared" si="7"/>
        <v>1.0269999999999999</v>
      </c>
      <c r="H61" s="1728"/>
      <c r="I61" s="1730"/>
      <c r="J61" s="1730"/>
      <c r="K61" s="1730"/>
      <c r="L61" s="1730"/>
      <c r="M61" s="1730"/>
      <c r="N61" s="1729"/>
      <c r="O61" s="1731"/>
      <c r="P61" s="1728">
        <f>+$P$3</f>
        <v>1.032</v>
      </c>
      <c r="Q61" s="1729"/>
      <c r="R61" s="1732">
        <f t="shared" si="1"/>
        <v>1.0821211439999998</v>
      </c>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c r="CH61" s="8"/>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8"/>
      <c r="DL61" s="8"/>
      <c r="DM61" s="8"/>
      <c r="DN61" s="8"/>
      <c r="DO61" s="8"/>
      <c r="DP61" s="8"/>
      <c r="DQ61" s="8"/>
      <c r="DR61" s="8"/>
      <c r="DS61" s="8"/>
      <c r="DT61" s="8"/>
      <c r="DU61" s="8"/>
      <c r="DV61" s="8"/>
      <c r="DW61" s="8"/>
      <c r="DX61" s="8"/>
      <c r="DY61" s="8"/>
      <c r="DZ61" s="8"/>
      <c r="EA61" s="8"/>
      <c r="EB61" s="8"/>
      <c r="EC61" s="8"/>
      <c r="ED61" s="8"/>
      <c r="EE61" s="8"/>
      <c r="EF61" s="8"/>
      <c r="EG61" s="8"/>
      <c r="EH61" s="8"/>
      <c r="EI61" s="8"/>
      <c r="EJ61" s="8"/>
      <c r="EK61" s="8"/>
      <c r="EL61" s="8"/>
      <c r="EM61" s="8"/>
      <c r="EN61" s="8"/>
      <c r="EO61" s="8"/>
      <c r="EP61" s="8"/>
      <c r="EQ61" s="8"/>
      <c r="ER61" s="8"/>
      <c r="ES61" s="8"/>
      <c r="ET61" s="8"/>
      <c r="EU61" s="8"/>
      <c r="EV61" s="8"/>
      <c r="EW61" s="8"/>
      <c r="EX61" s="8"/>
      <c r="EY61" s="8"/>
      <c r="EZ61" s="8"/>
      <c r="FA61" s="8"/>
      <c r="FB61" s="8"/>
      <c r="FC61" s="8"/>
      <c r="FD61" s="8"/>
      <c r="FE61" s="8"/>
      <c r="FF61" s="8"/>
      <c r="FG61" s="8"/>
      <c r="FH61" s="8"/>
      <c r="FI61" s="8"/>
      <c r="FJ61" s="8"/>
      <c r="FK61" s="8"/>
      <c r="FL61" s="8"/>
      <c r="FM61" s="8"/>
      <c r="FN61" s="8"/>
      <c r="FO61" s="8"/>
      <c r="FP61" s="8"/>
      <c r="FQ61" s="8"/>
      <c r="FR61" s="8"/>
      <c r="FS61" s="8"/>
      <c r="FT61" s="8"/>
      <c r="FU61" s="8"/>
      <c r="FV61" s="8"/>
      <c r="FW61" s="8"/>
      <c r="FX61" s="8"/>
      <c r="FY61" s="8"/>
      <c r="FZ61" s="8"/>
      <c r="GA61" s="8"/>
      <c r="GB61" s="8"/>
      <c r="GC61" s="8"/>
      <c r="GD61" s="8"/>
      <c r="GE61" s="8"/>
      <c r="GF61" s="8"/>
      <c r="GG61" s="8"/>
      <c r="GH61" s="8"/>
      <c r="GI61" s="8"/>
      <c r="GJ61" s="8"/>
      <c r="GK61" s="8"/>
      <c r="GL61" s="8"/>
      <c r="GM61" s="8"/>
      <c r="GN61" s="8"/>
      <c r="GO61" s="8"/>
      <c r="GP61" s="8"/>
      <c r="GQ61" s="8"/>
      <c r="GR61" s="8"/>
      <c r="GS61" s="8"/>
      <c r="GT61" s="8"/>
      <c r="GU61" s="8"/>
      <c r="GV61" s="8"/>
      <c r="GW61" s="8"/>
      <c r="GX61" s="8"/>
      <c r="GY61" s="8"/>
      <c r="GZ61" s="8"/>
      <c r="HA61" s="8"/>
      <c r="HB61" s="8"/>
      <c r="HC61" s="8"/>
      <c r="HD61" s="8"/>
      <c r="HE61" s="8"/>
      <c r="HF61" s="8"/>
      <c r="HG61" s="8"/>
      <c r="HH61" s="8"/>
      <c r="HI61" s="8"/>
      <c r="HJ61" s="8"/>
      <c r="HK61" s="8"/>
      <c r="HL61" s="8"/>
      <c r="HM61" s="8"/>
      <c r="HN61" s="8"/>
      <c r="HO61" s="8"/>
      <c r="HP61" s="8"/>
      <c r="HQ61" s="8"/>
      <c r="HR61" s="8"/>
      <c r="HS61" s="8"/>
      <c r="HT61" s="8"/>
      <c r="HU61" s="8"/>
      <c r="HV61" s="8"/>
      <c r="HW61" s="8"/>
      <c r="HX61" s="8"/>
      <c r="HY61" s="8"/>
      <c r="HZ61" s="8"/>
      <c r="IA61" s="8"/>
      <c r="IB61" s="8"/>
      <c r="IC61" s="8"/>
      <c r="ID61" s="8"/>
      <c r="IE61" s="8"/>
      <c r="IF61" s="8"/>
      <c r="IG61" s="8"/>
      <c r="IH61" s="8"/>
      <c r="II61" s="8"/>
      <c r="IJ61" s="8"/>
      <c r="IK61" s="8"/>
      <c r="IL61" s="8"/>
      <c r="IM61" s="8"/>
    </row>
    <row r="62" spans="1:247" x14ac:dyDescent="0.25">
      <c r="A62" s="4">
        <v>1796</v>
      </c>
      <c r="B62" s="9" t="s">
        <v>74</v>
      </c>
      <c r="C62" s="10" t="s">
        <v>9</v>
      </c>
      <c r="D62" s="1721" t="s">
        <v>3060</v>
      </c>
      <c r="E62" s="1728"/>
      <c r="F62" s="1723">
        <v>1.0209999999999999</v>
      </c>
      <c r="G62" s="1729">
        <v>1.0269999999999999</v>
      </c>
      <c r="H62" s="1728"/>
      <c r="I62" s="1730"/>
      <c r="J62" s="1730"/>
      <c r="K62" s="1730"/>
      <c r="L62" s="1730"/>
      <c r="M62" s="1730"/>
      <c r="N62" s="1729"/>
      <c r="O62" s="1731"/>
      <c r="P62" s="1728">
        <f>+$P$3</f>
        <v>1.032</v>
      </c>
      <c r="Q62" s="1729"/>
      <c r="R62" s="1732">
        <f t="shared" si="1"/>
        <v>1.0821211439999998</v>
      </c>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c r="ED62" s="8"/>
      <c r="EE62" s="8"/>
      <c r="EF62" s="8"/>
      <c r="EG62" s="8"/>
      <c r="EH62" s="8"/>
      <c r="EI62" s="8"/>
      <c r="EJ62" s="8"/>
      <c r="EK62" s="8"/>
      <c r="EL62" s="8"/>
      <c r="EM62" s="8"/>
      <c r="EN62" s="8"/>
      <c r="EO62" s="8"/>
      <c r="EP62" s="8"/>
      <c r="EQ62" s="8"/>
      <c r="ER62" s="8"/>
      <c r="ES62" s="8"/>
      <c r="ET62" s="8"/>
      <c r="EU62" s="8"/>
      <c r="EV62" s="8"/>
      <c r="EW62" s="8"/>
      <c r="EX62" s="8"/>
      <c r="EY62" s="8"/>
      <c r="EZ62" s="8"/>
      <c r="FA62" s="8"/>
      <c r="FB62" s="8"/>
      <c r="FC62" s="8"/>
      <c r="FD62" s="8"/>
      <c r="FE62" s="8"/>
      <c r="FF62" s="8"/>
      <c r="FG62" s="8"/>
      <c r="FH62" s="8"/>
      <c r="FI62" s="8"/>
      <c r="FJ62" s="8"/>
      <c r="FK62" s="8"/>
      <c r="FL62" s="8"/>
      <c r="FM62" s="8"/>
      <c r="FN62" s="8"/>
      <c r="FO62" s="8"/>
      <c r="FP62" s="8"/>
      <c r="FQ62" s="8"/>
      <c r="FR62" s="8"/>
      <c r="FS62" s="8"/>
      <c r="FT62" s="8"/>
      <c r="FU62" s="8"/>
      <c r="FV62" s="8"/>
      <c r="FW62" s="8"/>
      <c r="FX62" s="8"/>
      <c r="FY62" s="8"/>
      <c r="FZ62" s="8"/>
      <c r="GA62" s="8"/>
      <c r="GB62" s="8"/>
      <c r="GC62" s="8"/>
      <c r="GD62" s="8"/>
      <c r="GE62" s="8"/>
      <c r="GF62" s="8"/>
      <c r="GG62" s="8"/>
      <c r="GH62" s="8"/>
      <c r="GI62" s="8"/>
      <c r="GJ62" s="8"/>
      <c r="GK62" s="8"/>
      <c r="GL62" s="8"/>
      <c r="GM62" s="8"/>
      <c r="GN62" s="8"/>
      <c r="GO62" s="8"/>
      <c r="GP62" s="8"/>
      <c r="GQ62" s="8"/>
      <c r="GR62" s="8"/>
      <c r="GS62" s="8"/>
      <c r="GT62" s="8"/>
      <c r="GU62" s="8"/>
      <c r="GV62" s="8"/>
      <c r="GW62" s="8"/>
      <c r="GX62" s="8"/>
      <c r="GY62" s="8"/>
      <c r="GZ62" s="8"/>
      <c r="HA62" s="8"/>
      <c r="HB62" s="8"/>
      <c r="HC62" s="8"/>
      <c r="HD62" s="8"/>
      <c r="HE62" s="8"/>
      <c r="HF62" s="8"/>
      <c r="HG62" s="8"/>
      <c r="HH62" s="8"/>
      <c r="HI62" s="8"/>
      <c r="HJ62" s="8"/>
      <c r="HK62" s="8"/>
      <c r="HL62" s="8"/>
      <c r="HM62" s="8"/>
      <c r="HN62" s="8"/>
      <c r="HO62" s="8"/>
      <c r="HP62" s="8"/>
      <c r="HQ62" s="8"/>
      <c r="HR62" s="8"/>
      <c r="HS62" s="8"/>
      <c r="HT62" s="8"/>
      <c r="HU62" s="8"/>
      <c r="HV62" s="8"/>
      <c r="HW62" s="8"/>
      <c r="HX62" s="8"/>
      <c r="HY62" s="8"/>
      <c r="HZ62" s="8"/>
      <c r="IA62" s="8"/>
      <c r="IB62" s="8"/>
      <c r="IC62" s="8"/>
      <c r="ID62" s="8"/>
      <c r="IE62" s="8"/>
      <c r="IF62" s="8"/>
      <c r="IG62" s="8"/>
      <c r="IH62" s="8"/>
      <c r="II62" s="8"/>
      <c r="IJ62" s="8"/>
      <c r="IK62" s="8"/>
      <c r="IL62" s="8"/>
      <c r="IM62" s="8"/>
    </row>
    <row r="63" spans="1:247" x14ac:dyDescent="0.25">
      <c r="A63" s="4">
        <v>1797</v>
      </c>
      <c r="B63" s="9" t="s">
        <v>75</v>
      </c>
      <c r="C63" s="10" t="s">
        <v>38</v>
      </c>
      <c r="D63" s="1721" t="s">
        <v>3060</v>
      </c>
      <c r="E63" s="1728"/>
      <c r="F63" s="1723">
        <v>1.0209999999999999</v>
      </c>
      <c r="G63" s="1729">
        <v>1.0269999999999999</v>
      </c>
      <c r="H63" s="1728"/>
      <c r="I63" s="1730"/>
      <c r="J63" s="1730"/>
      <c r="K63" s="1730"/>
      <c r="L63" s="1730"/>
      <c r="M63" s="1730"/>
      <c r="N63" s="1729"/>
      <c r="O63" s="1731"/>
      <c r="P63" s="1728"/>
      <c r="Q63" s="1729"/>
      <c r="R63" s="1732">
        <f t="shared" si="1"/>
        <v>1.0485669999999998</v>
      </c>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c r="ED63" s="8"/>
      <c r="EE63" s="8"/>
      <c r="EF63" s="8"/>
      <c r="EG63" s="8"/>
      <c r="EH63" s="8"/>
      <c r="EI63" s="8"/>
      <c r="EJ63" s="8"/>
      <c r="EK63" s="8"/>
      <c r="EL63" s="8"/>
      <c r="EM63" s="8"/>
      <c r="EN63" s="8"/>
      <c r="EO63" s="8"/>
      <c r="EP63" s="8"/>
      <c r="EQ63" s="8"/>
      <c r="ER63" s="8"/>
      <c r="ES63" s="8"/>
      <c r="ET63" s="8"/>
      <c r="EU63" s="8"/>
      <c r="EV63" s="8"/>
      <c r="EW63" s="8"/>
      <c r="EX63" s="8"/>
      <c r="EY63" s="8"/>
      <c r="EZ63" s="8"/>
      <c r="FA63" s="8"/>
      <c r="FB63" s="8"/>
      <c r="FC63" s="8"/>
      <c r="FD63" s="8"/>
      <c r="FE63" s="8"/>
      <c r="FF63" s="8"/>
      <c r="FG63" s="8"/>
      <c r="FH63" s="8"/>
      <c r="FI63" s="8"/>
      <c r="FJ63" s="8"/>
      <c r="FK63" s="8"/>
      <c r="FL63" s="8"/>
      <c r="FM63" s="8"/>
      <c r="FN63" s="8"/>
      <c r="FO63" s="8"/>
      <c r="FP63" s="8"/>
      <c r="FQ63" s="8"/>
      <c r="FR63" s="8"/>
      <c r="FS63" s="8"/>
      <c r="FT63" s="8"/>
      <c r="FU63" s="8"/>
      <c r="FV63" s="8"/>
      <c r="FW63" s="8"/>
      <c r="FX63" s="8"/>
      <c r="FY63" s="8"/>
      <c r="FZ63" s="8"/>
      <c r="GA63" s="8"/>
      <c r="GB63" s="8"/>
      <c r="GC63" s="8"/>
      <c r="GD63" s="8"/>
      <c r="GE63" s="8"/>
      <c r="GF63" s="8"/>
      <c r="GG63" s="8"/>
      <c r="GH63" s="8"/>
      <c r="GI63" s="8"/>
      <c r="GJ63" s="8"/>
      <c r="GK63" s="8"/>
      <c r="GL63" s="8"/>
      <c r="GM63" s="8"/>
      <c r="GN63" s="8"/>
      <c r="GO63" s="8"/>
      <c r="GP63" s="8"/>
      <c r="GQ63" s="8"/>
      <c r="GR63" s="8"/>
      <c r="GS63" s="8"/>
      <c r="GT63" s="8"/>
      <c r="GU63" s="8"/>
      <c r="GV63" s="8"/>
      <c r="GW63" s="8"/>
      <c r="GX63" s="8"/>
      <c r="GY63" s="8"/>
      <c r="GZ63" s="8"/>
      <c r="HA63" s="8"/>
      <c r="HB63" s="8"/>
      <c r="HC63" s="8"/>
      <c r="HD63" s="8"/>
      <c r="HE63" s="8"/>
      <c r="HF63" s="8"/>
      <c r="HG63" s="8"/>
      <c r="HH63" s="8"/>
      <c r="HI63" s="8"/>
      <c r="HJ63" s="8"/>
      <c r="HK63" s="8"/>
      <c r="HL63" s="8"/>
      <c r="HM63" s="8"/>
      <c r="HN63" s="8"/>
      <c r="HO63" s="8"/>
      <c r="HP63" s="8"/>
      <c r="HQ63" s="8"/>
      <c r="HR63" s="8"/>
      <c r="HS63" s="8"/>
      <c r="HT63" s="8"/>
      <c r="HU63" s="8"/>
      <c r="HV63" s="8"/>
      <c r="HW63" s="8"/>
      <c r="HX63" s="8"/>
      <c r="HY63" s="8"/>
      <c r="HZ63" s="8"/>
      <c r="IA63" s="8"/>
      <c r="IB63" s="8"/>
      <c r="IC63" s="8"/>
      <c r="ID63" s="8"/>
      <c r="IE63" s="8"/>
      <c r="IF63" s="8"/>
      <c r="IG63" s="8"/>
      <c r="IH63" s="8"/>
      <c r="II63" s="8"/>
      <c r="IJ63" s="8"/>
      <c r="IK63" s="8"/>
      <c r="IL63" s="8"/>
      <c r="IM63" s="8"/>
    </row>
    <row r="64" spans="1:247" x14ac:dyDescent="0.25">
      <c r="A64" s="4">
        <v>1798</v>
      </c>
      <c r="B64" s="9" t="s">
        <v>76</v>
      </c>
      <c r="C64" s="10" t="s">
        <v>11</v>
      </c>
      <c r="D64" s="1721" t="s">
        <v>3060</v>
      </c>
      <c r="E64" s="1728"/>
      <c r="F64" s="1723">
        <v>1.0209999999999999</v>
      </c>
      <c r="G64" s="1729">
        <v>1.0269999999999999</v>
      </c>
      <c r="H64" s="1728"/>
      <c r="I64" s="1730"/>
      <c r="J64" s="1730"/>
      <c r="K64" s="1730"/>
      <c r="L64" s="1730"/>
      <c r="M64" s="1730"/>
      <c r="N64" s="1729"/>
      <c r="O64" s="1731"/>
      <c r="P64" s="1728"/>
      <c r="Q64" s="1729"/>
      <c r="R64" s="1732">
        <f t="shared" si="1"/>
        <v>1.0485669999999998</v>
      </c>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c r="ED64" s="8"/>
      <c r="EE64" s="8"/>
      <c r="EF64" s="8"/>
      <c r="EG64" s="8"/>
      <c r="EH64" s="8"/>
      <c r="EI64" s="8"/>
      <c r="EJ64" s="8"/>
      <c r="EK64" s="8"/>
      <c r="EL64" s="8"/>
      <c r="EM64" s="8"/>
      <c r="EN64" s="8"/>
      <c r="EO64" s="8"/>
      <c r="EP64" s="8"/>
      <c r="EQ64" s="8"/>
      <c r="ER64" s="8"/>
      <c r="ES64" s="8"/>
      <c r="ET64" s="8"/>
      <c r="EU64" s="8"/>
      <c r="EV64" s="8"/>
      <c r="EW64" s="8"/>
      <c r="EX64" s="8"/>
      <c r="EY64" s="8"/>
      <c r="EZ64" s="8"/>
      <c r="FA64" s="8"/>
      <c r="FB64" s="8"/>
      <c r="FC64" s="8"/>
      <c r="FD64" s="8"/>
      <c r="FE64" s="8"/>
      <c r="FF64" s="8"/>
      <c r="FG64" s="8"/>
      <c r="FH64" s="8"/>
      <c r="FI64" s="8"/>
      <c r="FJ64" s="8"/>
      <c r="FK64" s="8"/>
      <c r="FL64" s="8"/>
      <c r="FM64" s="8"/>
      <c r="FN64" s="8"/>
      <c r="FO64" s="8"/>
      <c r="FP64" s="8"/>
      <c r="FQ64" s="8"/>
      <c r="FR64" s="8"/>
      <c r="FS64" s="8"/>
      <c r="FT64" s="8"/>
      <c r="FU64" s="8"/>
      <c r="FV64" s="8"/>
      <c r="FW64" s="8"/>
      <c r="FX64" s="8"/>
      <c r="FY64" s="8"/>
      <c r="FZ64" s="8"/>
      <c r="GA64" s="8"/>
      <c r="GB64" s="8"/>
      <c r="GC64" s="8"/>
      <c r="GD64" s="8"/>
      <c r="GE64" s="8"/>
      <c r="GF64" s="8"/>
      <c r="GG64" s="8"/>
      <c r="GH64" s="8"/>
      <c r="GI64" s="8"/>
      <c r="GJ64" s="8"/>
      <c r="GK64" s="8"/>
      <c r="GL64" s="8"/>
      <c r="GM64" s="8"/>
      <c r="GN64" s="8"/>
      <c r="GO64" s="8"/>
      <c r="GP64" s="8"/>
      <c r="GQ64" s="8"/>
      <c r="GR64" s="8"/>
      <c r="GS64" s="8"/>
      <c r="GT64" s="8"/>
      <c r="GU64" s="8"/>
      <c r="GV64" s="8"/>
      <c r="GW64" s="8"/>
      <c r="GX64" s="8"/>
      <c r="GY64" s="8"/>
      <c r="GZ64" s="8"/>
      <c r="HA64" s="8"/>
      <c r="HB64" s="8"/>
      <c r="HC64" s="8"/>
      <c r="HD64" s="8"/>
      <c r="HE64" s="8"/>
      <c r="HF64" s="8"/>
      <c r="HG64" s="8"/>
      <c r="HH64" s="8"/>
      <c r="HI64" s="8"/>
      <c r="HJ64" s="8"/>
      <c r="HK64" s="8"/>
      <c r="HL64" s="8"/>
      <c r="HM64" s="8"/>
      <c r="HN64" s="8"/>
      <c r="HO64" s="8"/>
      <c r="HP64" s="8"/>
      <c r="HQ64" s="8"/>
      <c r="HR64" s="8"/>
      <c r="HS64" s="8"/>
      <c r="HT64" s="8"/>
      <c r="HU64" s="8"/>
      <c r="HV64" s="8"/>
      <c r="HW64" s="8"/>
      <c r="HX64" s="8"/>
      <c r="HY64" s="8"/>
      <c r="HZ64" s="8"/>
      <c r="IA64" s="8"/>
      <c r="IB64" s="8"/>
      <c r="IC64" s="8"/>
      <c r="ID64" s="8"/>
      <c r="IE64" s="8"/>
      <c r="IF64" s="8"/>
      <c r="IG64" s="8"/>
      <c r="IH64" s="8"/>
      <c r="II64" s="8"/>
      <c r="IJ64" s="8"/>
      <c r="IK64" s="8"/>
      <c r="IL64" s="8"/>
      <c r="IM64" s="8"/>
    </row>
    <row r="65" spans="1:247" x14ac:dyDescent="0.25">
      <c r="A65" s="4">
        <v>1799</v>
      </c>
      <c r="B65" s="9" t="s">
        <v>77</v>
      </c>
      <c r="C65" s="10" t="s">
        <v>11</v>
      </c>
      <c r="D65" s="1721" t="s">
        <v>3060</v>
      </c>
      <c r="E65" s="1728"/>
      <c r="F65" s="1723">
        <v>1.0209999999999999</v>
      </c>
      <c r="G65" s="1729">
        <v>1.0269999999999999</v>
      </c>
      <c r="H65" s="1728"/>
      <c r="I65" s="1730"/>
      <c r="J65" s="1730"/>
      <c r="K65" s="1730"/>
      <c r="L65" s="1730"/>
      <c r="M65" s="1730"/>
      <c r="N65" s="1729"/>
      <c r="O65" s="1731"/>
      <c r="P65" s="1728"/>
      <c r="Q65" s="1729"/>
      <c r="R65" s="1732">
        <f t="shared" si="1"/>
        <v>1.0485669999999998</v>
      </c>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c r="ED65" s="8"/>
      <c r="EE65" s="8"/>
      <c r="EF65" s="8"/>
      <c r="EG65" s="8"/>
      <c r="EH65" s="8"/>
      <c r="EI65" s="8"/>
      <c r="EJ65" s="8"/>
      <c r="EK65" s="8"/>
      <c r="EL65" s="8"/>
      <c r="EM65" s="8"/>
      <c r="EN65" s="8"/>
      <c r="EO65" s="8"/>
      <c r="EP65" s="8"/>
      <c r="EQ65" s="8"/>
      <c r="ER65" s="8"/>
      <c r="ES65" s="8"/>
      <c r="ET65" s="8"/>
      <c r="EU65" s="8"/>
      <c r="EV65" s="8"/>
      <c r="EW65" s="8"/>
      <c r="EX65" s="8"/>
      <c r="EY65" s="8"/>
      <c r="EZ65" s="8"/>
      <c r="FA65" s="8"/>
      <c r="FB65" s="8"/>
      <c r="FC65" s="8"/>
      <c r="FD65" s="8"/>
      <c r="FE65" s="8"/>
      <c r="FF65" s="8"/>
      <c r="FG65" s="8"/>
      <c r="FH65" s="8"/>
      <c r="FI65" s="8"/>
      <c r="FJ65" s="8"/>
      <c r="FK65" s="8"/>
      <c r="FL65" s="8"/>
      <c r="FM65" s="8"/>
      <c r="FN65" s="8"/>
      <c r="FO65" s="8"/>
      <c r="FP65" s="8"/>
      <c r="FQ65" s="8"/>
      <c r="FR65" s="8"/>
      <c r="FS65" s="8"/>
      <c r="FT65" s="8"/>
      <c r="FU65" s="8"/>
      <c r="FV65" s="8"/>
      <c r="FW65" s="8"/>
      <c r="FX65" s="8"/>
      <c r="FY65" s="8"/>
      <c r="FZ65" s="8"/>
      <c r="GA65" s="8"/>
      <c r="GB65" s="8"/>
      <c r="GC65" s="8"/>
      <c r="GD65" s="8"/>
      <c r="GE65" s="8"/>
      <c r="GF65" s="8"/>
      <c r="GG65" s="8"/>
      <c r="GH65" s="8"/>
      <c r="GI65" s="8"/>
      <c r="GJ65" s="8"/>
      <c r="GK65" s="8"/>
      <c r="GL65" s="8"/>
      <c r="GM65" s="8"/>
      <c r="GN65" s="8"/>
      <c r="GO65" s="8"/>
      <c r="GP65" s="8"/>
      <c r="GQ65" s="8"/>
      <c r="GR65" s="8"/>
      <c r="GS65" s="8"/>
      <c r="GT65" s="8"/>
      <c r="GU65" s="8"/>
      <c r="GV65" s="8"/>
      <c r="GW65" s="8"/>
      <c r="GX65" s="8"/>
      <c r="GY65" s="8"/>
      <c r="GZ65" s="8"/>
      <c r="HA65" s="8"/>
      <c r="HB65" s="8"/>
      <c r="HC65" s="8"/>
      <c r="HD65" s="8"/>
      <c r="HE65" s="8"/>
      <c r="HF65" s="8"/>
      <c r="HG65" s="8"/>
      <c r="HH65" s="8"/>
      <c r="HI65" s="8"/>
      <c r="HJ65" s="8"/>
      <c r="HK65" s="8"/>
      <c r="HL65" s="8"/>
      <c r="HM65" s="8"/>
      <c r="HN65" s="8"/>
      <c r="HO65" s="8"/>
      <c r="HP65" s="8"/>
      <c r="HQ65" s="8"/>
      <c r="HR65" s="8"/>
      <c r="HS65" s="8"/>
      <c r="HT65" s="8"/>
      <c r="HU65" s="8"/>
      <c r="HV65" s="8"/>
      <c r="HW65" s="8"/>
      <c r="HX65" s="8"/>
      <c r="HY65" s="8"/>
      <c r="HZ65" s="8"/>
      <c r="IA65" s="8"/>
      <c r="IB65" s="8"/>
      <c r="IC65" s="8"/>
      <c r="ID65" s="8"/>
      <c r="IE65" s="8"/>
      <c r="IF65" s="8"/>
      <c r="IG65" s="8"/>
      <c r="IH65" s="8"/>
      <c r="II65" s="8"/>
      <c r="IJ65" s="8"/>
      <c r="IK65" s="8"/>
      <c r="IL65" s="8"/>
      <c r="IM65" s="8"/>
    </row>
    <row r="66" spans="1:247" x14ac:dyDescent="0.25">
      <c r="A66" s="4">
        <v>2112</v>
      </c>
      <c r="B66" s="9" t="s">
        <v>78</v>
      </c>
      <c r="C66" s="10" t="s">
        <v>9</v>
      </c>
      <c r="D66" s="1721" t="s">
        <v>3062</v>
      </c>
      <c r="E66" s="1728"/>
      <c r="F66" s="1723">
        <f t="shared" si="0"/>
        <v>1.0209999999999999</v>
      </c>
      <c r="G66" s="1729">
        <f t="shared" ref="G66:G89" si="8">+$G$3</f>
        <v>1.0269999999999999</v>
      </c>
      <c r="H66" s="1728">
        <f>+$H$3</f>
        <v>1.0029999999999999</v>
      </c>
      <c r="I66" s="1730">
        <f>+$I$3</f>
        <v>1.0289999999999999</v>
      </c>
      <c r="J66" s="1730">
        <f>+$J$3</f>
        <v>1.0049999999999999</v>
      </c>
      <c r="K66" s="1730"/>
      <c r="L66" s="1730"/>
      <c r="M66" s="1730">
        <f>+$M$3</f>
        <v>1.0029999999999999</v>
      </c>
      <c r="N66" s="1729">
        <f t="shared" ref="N66:N85" si="9">+$N$3</f>
        <v>1.0029999999999999</v>
      </c>
      <c r="O66" s="1731">
        <f>+$O$3</f>
        <v>1.0209999999999999</v>
      </c>
      <c r="P66" s="1728">
        <f t="shared" ref="P66:P80" si="10">+$P$3</f>
        <v>1.032</v>
      </c>
      <c r="Q66" s="1729">
        <f t="shared" ref="Q66:Q80" si="11">+$Q$3</f>
        <v>1.0349999999999999</v>
      </c>
      <c r="R66" s="1732">
        <f t="shared" si="1"/>
        <v>1.1932356231980656</v>
      </c>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c r="ED66" s="8"/>
      <c r="EE66" s="8"/>
      <c r="EF66" s="8"/>
      <c r="EG66" s="8"/>
      <c r="EH66" s="8"/>
      <c r="EI66" s="8"/>
      <c r="EJ66" s="8"/>
      <c r="EK66" s="8"/>
      <c r="EL66" s="8"/>
      <c r="EM66" s="8"/>
      <c r="EN66" s="8"/>
      <c r="EO66" s="8"/>
      <c r="EP66" s="8"/>
      <c r="EQ66" s="8"/>
      <c r="ER66" s="8"/>
      <c r="ES66" s="8"/>
      <c r="ET66" s="8"/>
      <c r="EU66" s="8"/>
      <c r="EV66" s="8"/>
      <c r="EW66" s="8"/>
      <c r="EX66" s="8"/>
      <c r="EY66" s="8"/>
      <c r="EZ66" s="8"/>
      <c r="FA66" s="8"/>
      <c r="FB66" s="8"/>
      <c r="FC66" s="8"/>
      <c r="FD66" s="8"/>
      <c r="FE66" s="8"/>
      <c r="FF66" s="8"/>
      <c r="FG66" s="8"/>
      <c r="FH66" s="8"/>
      <c r="FI66" s="8"/>
      <c r="FJ66" s="8"/>
      <c r="FK66" s="8"/>
      <c r="FL66" s="8"/>
      <c r="FM66" s="8"/>
      <c r="FN66" s="8"/>
      <c r="FO66" s="8"/>
      <c r="FP66" s="8"/>
      <c r="FQ66" s="8"/>
      <c r="FR66" s="8"/>
      <c r="FS66" s="8"/>
      <c r="FT66" s="8"/>
      <c r="FU66" s="8"/>
      <c r="FV66" s="8"/>
      <c r="FW66" s="8"/>
      <c r="FX66" s="8"/>
      <c r="FY66" s="8"/>
      <c r="FZ66" s="8"/>
      <c r="GA66" s="8"/>
      <c r="GB66" s="8"/>
      <c r="GC66" s="8"/>
      <c r="GD66" s="8"/>
      <c r="GE66" s="8"/>
      <c r="GF66" s="8"/>
      <c r="GG66" s="8"/>
      <c r="GH66" s="8"/>
      <c r="GI66" s="8"/>
      <c r="GJ66" s="8"/>
      <c r="GK66" s="8"/>
      <c r="GL66" s="8"/>
      <c r="GM66" s="8"/>
      <c r="GN66" s="8"/>
      <c r="GO66" s="8"/>
      <c r="GP66" s="8"/>
      <c r="GQ66" s="8"/>
      <c r="GR66" s="8"/>
      <c r="GS66" s="8"/>
      <c r="GT66" s="8"/>
      <c r="GU66" s="8"/>
      <c r="GV66" s="8"/>
      <c r="GW66" s="8"/>
      <c r="GX66" s="8"/>
      <c r="GY66" s="8"/>
      <c r="GZ66" s="8"/>
      <c r="HA66" s="8"/>
      <c r="HB66" s="8"/>
      <c r="HC66" s="8"/>
      <c r="HD66" s="8"/>
      <c r="HE66" s="8"/>
      <c r="HF66" s="8"/>
      <c r="HG66" s="8"/>
      <c r="HH66" s="8"/>
      <c r="HI66" s="8"/>
      <c r="HJ66" s="8"/>
      <c r="HK66" s="8"/>
      <c r="HL66" s="8"/>
      <c r="HM66" s="8"/>
      <c r="HN66" s="8"/>
      <c r="HO66" s="8"/>
      <c r="HP66" s="8"/>
      <c r="HQ66" s="8"/>
      <c r="HR66" s="8"/>
      <c r="HS66" s="8"/>
      <c r="HT66" s="8"/>
      <c r="HU66" s="8"/>
      <c r="HV66" s="8"/>
      <c r="HW66" s="8"/>
      <c r="HX66" s="8"/>
      <c r="HY66" s="8"/>
      <c r="HZ66" s="8"/>
      <c r="IA66" s="8"/>
      <c r="IB66" s="8"/>
      <c r="IC66" s="8"/>
      <c r="ID66" s="8"/>
      <c r="IE66" s="8"/>
      <c r="IF66" s="8"/>
      <c r="IG66" s="8"/>
      <c r="IH66" s="8"/>
      <c r="II66" s="8"/>
      <c r="IJ66" s="8"/>
      <c r="IK66" s="8"/>
      <c r="IL66" s="8"/>
      <c r="IM66" s="8"/>
    </row>
    <row r="67" spans="1:247" x14ac:dyDescent="0.25">
      <c r="A67" s="4">
        <v>2121</v>
      </c>
      <c r="B67" s="9" t="s">
        <v>79</v>
      </c>
      <c r="C67" s="10" t="s">
        <v>9</v>
      </c>
      <c r="D67" s="1721" t="s">
        <v>3062</v>
      </c>
      <c r="E67" s="1728"/>
      <c r="F67" s="1723">
        <f t="shared" si="0"/>
        <v>1.0209999999999999</v>
      </c>
      <c r="G67" s="1729">
        <f t="shared" si="8"/>
        <v>1.0269999999999999</v>
      </c>
      <c r="H67" s="1728">
        <f>+$H$3</f>
        <v>1.0029999999999999</v>
      </c>
      <c r="I67" s="1730">
        <f>+$I$3</f>
        <v>1.0289999999999999</v>
      </c>
      <c r="J67" s="1730">
        <f>+$J$3</f>
        <v>1.0049999999999999</v>
      </c>
      <c r="K67" s="1730"/>
      <c r="L67" s="1730"/>
      <c r="M67" s="1730">
        <f>+$M$3</f>
        <v>1.0029999999999999</v>
      </c>
      <c r="N67" s="1729">
        <f t="shared" si="9"/>
        <v>1.0029999999999999</v>
      </c>
      <c r="O67" s="1731">
        <f>+$O$3</f>
        <v>1.0209999999999999</v>
      </c>
      <c r="P67" s="1728">
        <f t="shared" si="10"/>
        <v>1.032</v>
      </c>
      <c r="Q67" s="1729">
        <f t="shared" si="11"/>
        <v>1.0349999999999999</v>
      </c>
      <c r="R67" s="1732">
        <f t="shared" si="1"/>
        <v>1.1932356231980656</v>
      </c>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c r="ED67" s="8"/>
      <c r="EE67" s="8"/>
      <c r="EF67" s="8"/>
      <c r="EG67" s="8"/>
      <c r="EH67" s="8"/>
      <c r="EI67" s="8"/>
      <c r="EJ67" s="8"/>
      <c r="EK67" s="8"/>
      <c r="EL67" s="8"/>
      <c r="EM67" s="8"/>
      <c r="EN67" s="8"/>
      <c r="EO67" s="8"/>
      <c r="EP67" s="8"/>
      <c r="EQ67" s="8"/>
      <c r="ER67" s="8"/>
      <c r="ES67" s="8"/>
      <c r="ET67" s="8"/>
      <c r="EU67" s="8"/>
      <c r="EV67" s="8"/>
      <c r="EW67" s="8"/>
      <c r="EX67" s="8"/>
      <c r="EY67" s="8"/>
      <c r="EZ67" s="8"/>
      <c r="FA67" s="8"/>
      <c r="FB67" s="8"/>
      <c r="FC67" s="8"/>
      <c r="FD67" s="8"/>
      <c r="FE67" s="8"/>
      <c r="FF67" s="8"/>
      <c r="FG67" s="8"/>
      <c r="FH67" s="8"/>
      <c r="FI67" s="8"/>
      <c r="FJ67" s="8"/>
      <c r="FK67" s="8"/>
      <c r="FL67" s="8"/>
      <c r="FM67" s="8"/>
      <c r="FN67" s="8"/>
      <c r="FO67" s="8"/>
      <c r="FP67" s="8"/>
      <c r="FQ67" s="8"/>
      <c r="FR67" s="8"/>
      <c r="FS67" s="8"/>
      <c r="FT67" s="8"/>
      <c r="FU67" s="8"/>
      <c r="FV67" s="8"/>
      <c r="FW67" s="8"/>
      <c r="FX67" s="8"/>
      <c r="FY67" s="8"/>
      <c r="FZ67" s="8"/>
      <c r="GA67" s="8"/>
      <c r="GB67" s="8"/>
      <c r="GC67" s="8"/>
      <c r="GD67" s="8"/>
      <c r="GE67" s="8"/>
      <c r="GF67" s="8"/>
      <c r="GG67" s="8"/>
      <c r="GH67" s="8"/>
      <c r="GI67" s="8"/>
      <c r="GJ67" s="8"/>
      <c r="GK67" s="8"/>
      <c r="GL67" s="8"/>
      <c r="GM67" s="8"/>
      <c r="GN67" s="8"/>
      <c r="GO67" s="8"/>
      <c r="GP67" s="8"/>
      <c r="GQ67" s="8"/>
      <c r="GR67" s="8"/>
      <c r="GS67" s="8"/>
      <c r="GT67" s="8"/>
      <c r="GU67" s="8"/>
      <c r="GV67" s="8"/>
      <c r="GW67" s="8"/>
      <c r="GX67" s="8"/>
      <c r="GY67" s="8"/>
      <c r="GZ67" s="8"/>
      <c r="HA67" s="8"/>
      <c r="HB67" s="8"/>
      <c r="HC67" s="8"/>
      <c r="HD67" s="8"/>
      <c r="HE67" s="8"/>
      <c r="HF67" s="8"/>
      <c r="HG67" s="8"/>
      <c r="HH67" s="8"/>
      <c r="HI67" s="8"/>
      <c r="HJ67" s="8"/>
      <c r="HK67" s="8"/>
      <c r="HL67" s="8"/>
      <c r="HM67" s="8"/>
      <c r="HN67" s="8"/>
      <c r="HO67" s="8"/>
      <c r="HP67" s="8"/>
      <c r="HQ67" s="8"/>
      <c r="HR67" s="8"/>
      <c r="HS67" s="8"/>
      <c r="HT67" s="8"/>
      <c r="HU67" s="8"/>
      <c r="HV67" s="8"/>
      <c r="HW67" s="8"/>
      <c r="HX67" s="8"/>
      <c r="HY67" s="8"/>
      <c r="HZ67" s="8"/>
      <c r="IA67" s="8"/>
      <c r="IB67" s="8"/>
      <c r="IC67" s="8"/>
      <c r="ID67" s="8"/>
      <c r="IE67" s="8"/>
      <c r="IF67" s="8"/>
      <c r="IG67" s="8"/>
      <c r="IH67" s="8"/>
      <c r="II67" s="8"/>
      <c r="IJ67" s="8"/>
      <c r="IK67" s="8"/>
      <c r="IL67" s="8"/>
      <c r="IM67" s="8"/>
    </row>
    <row r="68" spans="1:247" x14ac:dyDescent="0.25">
      <c r="A68" s="4">
        <v>2123</v>
      </c>
      <c r="B68" s="9" t="s">
        <v>80</v>
      </c>
      <c r="C68" s="10" t="s">
        <v>9</v>
      </c>
      <c r="D68" s="1721" t="s">
        <v>3062</v>
      </c>
      <c r="E68" s="1728"/>
      <c r="F68" s="1723">
        <f t="shared" si="0"/>
        <v>1.0209999999999999</v>
      </c>
      <c r="G68" s="1729">
        <f t="shared" si="8"/>
        <v>1.0269999999999999</v>
      </c>
      <c r="H68" s="1728">
        <f>+$H$3</f>
        <v>1.0029999999999999</v>
      </c>
      <c r="I68" s="1730">
        <f>+$I$3</f>
        <v>1.0289999999999999</v>
      </c>
      <c r="J68" s="1730">
        <f>+$J$3</f>
        <v>1.0049999999999999</v>
      </c>
      <c r="K68" s="1730"/>
      <c r="L68" s="1730"/>
      <c r="M68" s="1730">
        <f>+$M$3</f>
        <v>1.0029999999999999</v>
      </c>
      <c r="N68" s="1729">
        <f t="shared" si="9"/>
        <v>1.0029999999999999</v>
      </c>
      <c r="O68" s="1731">
        <f>+$O$3</f>
        <v>1.0209999999999999</v>
      </c>
      <c r="P68" s="1728">
        <f t="shared" si="10"/>
        <v>1.032</v>
      </c>
      <c r="Q68" s="1729">
        <f t="shared" si="11"/>
        <v>1.0349999999999999</v>
      </c>
      <c r="R68" s="1732">
        <f>PRODUCT(E68:Q68)</f>
        <v>1.1932356231980656</v>
      </c>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c r="ED68" s="8"/>
      <c r="EE68" s="8"/>
      <c r="EF68" s="8"/>
      <c r="EG68" s="8"/>
      <c r="EH68" s="8"/>
      <c r="EI68" s="8"/>
      <c r="EJ68" s="8"/>
      <c r="EK68" s="8"/>
      <c r="EL68" s="8"/>
      <c r="EM68" s="8"/>
      <c r="EN68" s="8"/>
      <c r="EO68" s="8"/>
      <c r="EP68" s="8"/>
      <c r="EQ68" s="8"/>
      <c r="ER68" s="8"/>
      <c r="ES68" s="8"/>
      <c r="ET68" s="8"/>
      <c r="EU68" s="8"/>
      <c r="EV68" s="8"/>
      <c r="EW68" s="8"/>
      <c r="EX68" s="8"/>
      <c r="EY68" s="8"/>
      <c r="EZ68" s="8"/>
      <c r="FA68" s="8"/>
      <c r="FB68" s="8"/>
      <c r="FC68" s="8"/>
      <c r="FD68" s="8"/>
      <c r="FE68" s="8"/>
      <c r="FF68" s="8"/>
      <c r="FG68" s="8"/>
      <c r="FH68" s="8"/>
      <c r="FI68" s="8"/>
      <c r="FJ68" s="8"/>
      <c r="FK68" s="8"/>
      <c r="FL68" s="8"/>
      <c r="FM68" s="8"/>
      <c r="FN68" s="8"/>
      <c r="FO68" s="8"/>
      <c r="FP68" s="8"/>
      <c r="FQ68" s="8"/>
      <c r="FR68" s="8"/>
      <c r="FS68" s="8"/>
      <c r="FT68" s="8"/>
      <c r="FU68" s="8"/>
      <c r="FV68" s="8"/>
      <c r="FW68" s="8"/>
      <c r="FX68" s="8"/>
      <c r="FY68" s="8"/>
      <c r="FZ68" s="8"/>
      <c r="GA68" s="8"/>
      <c r="GB68" s="8"/>
      <c r="GC68" s="8"/>
      <c r="GD68" s="8"/>
      <c r="GE68" s="8"/>
      <c r="GF68" s="8"/>
      <c r="GG68" s="8"/>
      <c r="GH68" s="8"/>
      <c r="GI68" s="8"/>
      <c r="GJ68" s="8"/>
      <c r="GK68" s="8"/>
      <c r="GL68" s="8"/>
      <c r="GM68" s="8"/>
      <c r="GN68" s="8"/>
      <c r="GO68" s="8"/>
      <c r="GP68" s="8"/>
      <c r="GQ68" s="8"/>
      <c r="GR68" s="8"/>
      <c r="GS68" s="8"/>
      <c r="GT68" s="8"/>
      <c r="GU68" s="8"/>
      <c r="GV68" s="8"/>
      <c r="GW68" s="8"/>
      <c r="GX68" s="8"/>
      <c r="GY68" s="8"/>
      <c r="GZ68" s="8"/>
      <c r="HA68" s="8"/>
      <c r="HB68" s="8"/>
      <c r="HC68" s="8"/>
      <c r="HD68" s="8"/>
      <c r="HE68" s="8"/>
      <c r="HF68" s="8"/>
      <c r="HG68" s="8"/>
      <c r="HH68" s="8"/>
      <c r="HI68" s="8"/>
      <c r="HJ68" s="8"/>
      <c r="HK68" s="8"/>
      <c r="HL68" s="8"/>
      <c r="HM68" s="8"/>
      <c r="HN68" s="8"/>
      <c r="HO68" s="8"/>
      <c r="HP68" s="8"/>
      <c r="HQ68" s="8"/>
      <c r="HR68" s="8"/>
      <c r="HS68" s="8"/>
      <c r="HT68" s="8"/>
      <c r="HU68" s="8"/>
      <c r="HV68" s="8"/>
      <c r="HW68" s="8"/>
      <c r="HX68" s="8"/>
      <c r="HY68" s="8"/>
      <c r="HZ68" s="8"/>
      <c r="IA68" s="8"/>
      <c r="IB68" s="8"/>
      <c r="IC68" s="8"/>
      <c r="ID68" s="8"/>
      <c r="IE68" s="8"/>
      <c r="IF68" s="8"/>
      <c r="IG68" s="8"/>
      <c r="IH68" s="8"/>
      <c r="II68" s="8"/>
      <c r="IJ68" s="8"/>
      <c r="IK68" s="8"/>
      <c r="IL68" s="8"/>
      <c r="IM68" s="8"/>
    </row>
    <row r="69" spans="1:247" x14ac:dyDescent="0.25">
      <c r="A69" s="4">
        <v>2124</v>
      </c>
      <c r="B69" s="9" t="s">
        <v>81</v>
      </c>
      <c r="C69" s="10" t="s">
        <v>11</v>
      </c>
      <c r="D69" s="1721" t="s">
        <v>3060</v>
      </c>
      <c r="E69" s="1728"/>
      <c r="F69" s="1723">
        <f t="shared" si="0"/>
        <v>1.0209999999999999</v>
      </c>
      <c r="G69" s="1729">
        <f t="shared" si="8"/>
        <v>1.0269999999999999</v>
      </c>
      <c r="H69" s="1728"/>
      <c r="I69" s="1730"/>
      <c r="J69" s="1730"/>
      <c r="K69" s="1730"/>
      <c r="L69" s="1730"/>
      <c r="M69" s="1730"/>
      <c r="N69" s="1729">
        <f t="shared" si="9"/>
        <v>1.0029999999999999</v>
      </c>
      <c r="O69" s="1731"/>
      <c r="P69" s="1728">
        <f t="shared" si="10"/>
        <v>1.032</v>
      </c>
      <c r="Q69" s="1729">
        <f t="shared" si="11"/>
        <v>1.0349999999999999</v>
      </c>
      <c r="R69" s="1732">
        <f t="shared" si="1"/>
        <v>1.1233553701921195</v>
      </c>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c r="ED69" s="8"/>
      <c r="EE69" s="8"/>
      <c r="EF69" s="8"/>
      <c r="EG69" s="8"/>
      <c r="EH69" s="8"/>
      <c r="EI69" s="8"/>
      <c r="EJ69" s="8"/>
      <c r="EK69" s="8"/>
      <c r="EL69" s="8"/>
      <c r="EM69" s="8"/>
      <c r="EN69" s="8"/>
      <c r="EO69" s="8"/>
      <c r="EP69" s="8"/>
      <c r="EQ69" s="8"/>
      <c r="ER69" s="8"/>
      <c r="ES69" s="8"/>
      <c r="ET69" s="8"/>
      <c r="EU69" s="8"/>
      <c r="EV69" s="8"/>
      <c r="EW69" s="8"/>
      <c r="EX69" s="8"/>
      <c r="EY69" s="8"/>
      <c r="EZ69" s="8"/>
      <c r="FA69" s="8"/>
      <c r="FB69" s="8"/>
      <c r="FC69" s="8"/>
      <c r="FD69" s="8"/>
      <c r="FE69" s="8"/>
      <c r="FF69" s="8"/>
      <c r="FG69" s="8"/>
      <c r="FH69" s="8"/>
      <c r="FI69" s="8"/>
      <c r="FJ69" s="8"/>
      <c r="FK69" s="8"/>
      <c r="FL69" s="8"/>
      <c r="FM69" s="8"/>
      <c r="FN69" s="8"/>
      <c r="FO69" s="8"/>
      <c r="FP69" s="8"/>
      <c r="FQ69" s="8"/>
      <c r="FR69" s="8"/>
      <c r="FS69" s="8"/>
      <c r="FT69" s="8"/>
      <c r="FU69" s="8"/>
      <c r="FV69" s="8"/>
      <c r="FW69" s="8"/>
      <c r="FX69" s="8"/>
      <c r="FY69" s="8"/>
      <c r="FZ69" s="8"/>
      <c r="GA69" s="8"/>
      <c r="GB69" s="8"/>
      <c r="GC69" s="8"/>
      <c r="GD69" s="8"/>
      <c r="GE69" s="8"/>
      <c r="GF69" s="8"/>
      <c r="GG69" s="8"/>
      <c r="GH69" s="8"/>
      <c r="GI69" s="8"/>
      <c r="GJ69" s="8"/>
      <c r="GK69" s="8"/>
      <c r="GL69" s="8"/>
      <c r="GM69" s="8"/>
      <c r="GN69" s="8"/>
      <c r="GO69" s="8"/>
      <c r="GP69" s="8"/>
      <c r="GQ69" s="8"/>
      <c r="GR69" s="8"/>
      <c r="GS69" s="8"/>
      <c r="GT69" s="8"/>
      <c r="GU69" s="8"/>
      <c r="GV69" s="8"/>
      <c r="GW69" s="8"/>
      <c r="GX69" s="8"/>
      <c r="GY69" s="8"/>
      <c r="GZ69" s="8"/>
      <c r="HA69" s="8"/>
      <c r="HB69" s="8"/>
      <c r="HC69" s="8"/>
      <c r="HD69" s="8"/>
      <c r="HE69" s="8"/>
      <c r="HF69" s="8"/>
      <c r="HG69" s="8"/>
      <c r="HH69" s="8"/>
      <c r="HI69" s="8"/>
      <c r="HJ69" s="8"/>
      <c r="HK69" s="8"/>
      <c r="HL69" s="8"/>
      <c r="HM69" s="8"/>
      <c r="HN69" s="8"/>
      <c r="HO69" s="8"/>
      <c r="HP69" s="8"/>
      <c r="HQ69" s="8"/>
      <c r="HR69" s="8"/>
      <c r="HS69" s="8"/>
      <c r="HT69" s="8"/>
      <c r="HU69" s="8"/>
      <c r="HV69" s="8"/>
      <c r="HW69" s="8"/>
      <c r="HX69" s="8"/>
      <c r="HY69" s="8"/>
      <c r="HZ69" s="8"/>
      <c r="IA69" s="8"/>
      <c r="IB69" s="8"/>
      <c r="IC69" s="8"/>
      <c r="ID69" s="8"/>
      <c r="IE69" s="8"/>
      <c r="IF69" s="8"/>
      <c r="IG69" s="8"/>
      <c r="IH69" s="8"/>
      <c r="II69" s="8"/>
      <c r="IJ69" s="8"/>
      <c r="IK69" s="8"/>
      <c r="IL69" s="8"/>
      <c r="IM69" s="8"/>
    </row>
    <row r="70" spans="1:247" x14ac:dyDescent="0.25">
      <c r="A70" s="4">
        <v>2125</v>
      </c>
      <c r="B70" s="9" t="s">
        <v>82</v>
      </c>
      <c r="C70" s="10" t="s">
        <v>9</v>
      </c>
      <c r="D70" s="1721" t="s">
        <v>3062</v>
      </c>
      <c r="E70" s="1728"/>
      <c r="F70" s="1723">
        <f t="shared" si="0"/>
        <v>1.0209999999999999</v>
      </c>
      <c r="G70" s="1729">
        <f t="shared" si="8"/>
        <v>1.0269999999999999</v>
      </c>
      <c r="H70" s="1728">
        <f>+$H$3</f>
        <v>1.0029999999999999</v>
      </c>
      <c r="I70" s="1730">
        <f>+$I$3</f>
        <v>1.0289999999999999</v>
      </c>
      <c r="J70" s="1730">
        <f t="shared" ref="J70:J80" si="12">+$J$3</f>
        <v>1.0049999999999999</v>
      </c>
      <c r="K70" s="1730"/>
      <c r="L70" s="1730"/>
      <c r="M70" s="1730">
        <f>+$M$3</f>
        <v>1.0029999999999999</v>
      </c>
      <c r="N70" s="1729">
        <f t="shared" si="9"/>
        <v>1.0029999999999999</v>
      </c>
      <c r="O70" s="1731">
        <f>+$O$3</f>
        <v>1.0209999999999999</v>
      </c>
      <c r="P70" s="1728">
        <f t="shared" si="10"/>
        <v>1.032</v>
      </c>
      <c r="Q70" s="1729">
        <f t="shared" si="11"/>
        <v>1.0349999999999999</v>
      </c>
      <c r="R70" s="1732">
        <f t="shared" si="1"/>
        <v>1.1932356231980656</v>
      </c>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c r="ED70" s="8"/>
      <c r="EE70" s="8"/>
      <c r="EF70" s="8"/>
      <c r="EG70" s="8"/>
      <c r="EH70" s="8"/>
      <c r="EI70" s="8"/>
      <c r="EJ70" s="8"/>
      <c r="EK70" s="8"/>
      <c r="EL70" s="8"/>
      <c r="EM70" s="8"/>
      <c r="EN70" s="8"/>
      <c r="EO70" s="8"/>
      <c r="EP70" s="8"/>
      <c r="EQ70" s="8"/>
      <c r="ER70" s="8"/>
      <c r="ES70" s="8"/>
      <c r="ET70" s="8"/>
      <c r="EU70" s="8"/>
      <c r="EV70" s="8"/>
      <c r="EW70" s="8"/>
      <c r="EX70" s="8"/>
      <c r="EY70" s="8"/>
      <c r="EZ70" s="8"/>
      <c r="FA70" s="8"/>
      <c r="FB70" s="8"/>
      <c r="FC70" s="8"/>
      <c r="FD70" s="8"/>
      <c r="FE70" s="8"/>
      <c r="FF70" s="8"/>
      <c r="FG70" s="8"/>
      <c r="FH70" s="8"/>
      <c r="FI70" s="8"/>
      <c r="FJ70" s="8"/>
      <c r="FK70" s="8"/>
      <c r="FL70" s="8"/>
      <c r="FM70" s="8"/>
      <c r="FN70" s="8"/>
      <c r="FO70" s="8"/>
      <c r="FP70" s="8"/>
      <c r="FQ70" s="8"/>
      <c r="FR70" s="8"/>
      <c r="FS70" s="8"/>
      <c r="FT70" s="8"/>
      <c r="FU70" s="8"/>
      <c r="FV70" s="8"/>
      <c r="FW70" s="8"/>
      <c r="FX70" s="8"/>
      <c r="FY70" s="8"/>
      <c r="FZ70" s="8"/>
      <c r="GA70" s="8"/>
      <c r="GB70" s="8"/>
      <c r="GC70" s="8"/>
      <c r="GD70" s="8"/>
      <c r="GE70" s="8"/>
      <c r="GF70" s="8"/>
      <c r="GG70" s="8"/>
      <c r="GH70" s="8"/>
      <c r="GI70" s="8"/>
      <c r="GJ70" s="8"/>
      <c r="GK70" s="8"/>
      <c r="GL70" s="8"/>
      <c r="GM70" s="8"/>
      <c r="GN70" s="8"/>
      <c r="GO70" s="8"/>
      <c r="GP70" s="8"/>
      <c r="GQ70" s="8"/>
      <c r="GR70" s="8"/>
      <c r="GS70" s="8"/>
      <c r="GT70" s="8"/>
      <c r="GU70" s="8"/>
      <c r="GV70" s="8"/>
      <c r="GW70" s="8"/>
      <c r="GX70" s="8"/>
      <c r="GY70" s="8"/>
      <c r="GZ70" s="8"/>
      <c r="HA70" s="8"/>
      <c r="HB70" s="8"/>
      <c r="HC70" s="8"/>
      <c r="HD70" s="8"/>
      <c r="HE70" s="8"/>
      <c r="HF70" s="8"/>
      <c r="HG70" s="8"/>
      <c r="HH70" s="8"/>
      <c r="HI70" s="8"/>
      <c r="HJ70" s="8"/>
      <c r="HK70" s="8"/>
      <c r="HL70" s="8"/>
      <c r="HM70" s="8"/>
      <c r="HN70" s="8"/>
      <c r="HO70" s="8"/>
      <c r="HP70" s="8"/>
      <c r="HQ70" s="8"/>
      <c r="HR70" s="8"/>
      <c r="HS70" s="8"/>
      <c r="HT70" s="8"/>
      <c r="HU70" s="8"/>
      <c r="HV70" s="8"/>
      <c r="HW70" s="8"/>
      <c r="HX70" s="8"/>
      <c r="HY70" s="8"/>
      <c r="HZ70" s="8"/>
      <c r="IA70" s="8"/>
      <c r="IB70" s="8"/>
      <c r="IC70" s="8"/>
      <c r="ID70" s="8"/>
      <c r="IE70" s="8"/>
      <c r="IF70" s="8"/>
      <c r="IG70" s="8"/>
      <c r="IH70" s="8"/>
      <c r="II70" s="8"/>
      <c r="IJ70" s="8"/>
      <c r="IK70" s="8"/>
      <c r="IL70" s="8"/>
      <c r="IM70" s="8"/>
    </row>
    <row r="71" spans="1:247" x14ac:dyDescent="0.25">
      <c r="A71" s="4">
        <v>2126</v>
      </c>
      <c r="B71" s="9" t="s">
        <v>3063</v>
      </c>
      <c r="C71" s="10" t="s">
        <v>9</v>
      </c>
      <c r="D71" s="1721" t="s">
        <v>3062</v>
      </c>
      <c r="E71" s="1728"/>
      <c r="F71" s="1723">
        <f t="shared" si="0"/>
        <v>1.0209999999999999</v>
      </c>
      <c r="G71" s="1729">
        <f t="shared" si="8"/>
        <v>1.0269999999999999</v>
      </c>
      <c r="H71" s="1728">
        <f>+$H$3</f>
        <v>1.0029999999999999</v>
      </c>
      <c r="I71" s="1730">
        <f>+$I$3</f>
        <v>1.0289999999999999</v>
      </c>
      <c r="J71" s="1730">
        <f t="shared" si="12"/>
        <v>1.0049999999999999</v>
      </c>
      <c r="K71" s="1730"/>
      <c r="L71" s="1730"/>
      <c r="M71" s="1730">
        <f>+$M$3</f>
        <v>1.0029999999999999</v>
      </c>
      <c r="N71" s="1729">
        <f t="shared" si="9"/>
        <v>1.0029999999999999</v>
      </c>
      <c r="O71" s="1731">
        <f>+$O$3</f>
        <v>1.0209999999999999</v>
      </c>
      <c r="P71" s="1728">
        <f t="shared" si="10"/>
        <v>1.032</v>
      </c>
      <c r="Q71" s="1729">
        <f t="shared" si="11"/>
        <v>1.0349999999999999</v>
      </c>
      <c r="R71" s="1732">
        <f>PRODUCT(E71:Q71)</f>
        <v>1.1932356231980656</v>
      </c>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c r="ED71" s="8"/>
      <c r="EE71" s="8"/>
      <c r="EF71" s="8"/>
      <c r="EG71" s="8"/>
      <c r="EH71" s="8"/>
      <c r="EI71" s="8"/>
      <c r="EJ71" s="8"/>
      <c r="EK71" s="8"/>
      <c r="EL71" s="8"/>
      <c r="EM71" s="8"/>
      <c r="EN71" s="8"/>
      <c r="EO71" s="8"/>
      <c r="EP71" s="8"/>
      <c r="EQ71" s="8"/>
      <c r="ER71" s="8"/>
      <c r="ES71" s="8"/>
      <c r="ET71" s="8"/>
      <c r="EU71" s="8"/>
      <c r="EV71" s="8"/>
      <c r="EW71" s="8"/>
      <c r="EX71" s="8"/>
      <c r="EY71" s="8"/>
      <c r="EZ71" s="8"/>
      <c r="FA71" s="8"/>
      <c r="FB71" s="8"/>
      <c r="FC71" s="8"/>
      <c r="FD71" s="8"/>
      <c r="FE71" s="8"/>
      <c r="FF71" s="8"/>
      <c r="FG71" s="8"/>
      <c r="FH71" s="8"/>
      <c r="FI71" s="8"/>
      <c r="FJ71" s="8"/>
      <c r="FK71" s="8"/>
      <c r="FL71" s="8"/>
      <c r="FM71" s="8"/>
      <c r="FN71" s="8"/>
      <c r="FO71" s="8"/>
      <c r="FP71" s="8"/>
      <c r="FQ71" s="8"/>
      <c r="FR71" s="8"/>
      <c r="FS71" s="8"/>
      <c r="FT71" s="8"/>
      <c r="FU71" s="8"/>
      <c r="FV71" s="8"/>
      <c r="FW71" s="8"/>
      <c r="FX71" s="8"/>
      <c r="FY71" s="8"/>
      <c r="FZ71" s="8"/>
      <c r="GA71" s="8"/>
      <c r="GB71" s="8"/>
      <c r="GC71" s="8"/>
      <c r="GD71" s="8"/>
      <c r="GE71" s="8"/>
      <c r="GF71" s="8"/>
      <c r="GG71" s="8"/>
      <c r="GH71" s="8"/>
      <c r="GI71" s="8"/>
      <c r="GJ71" s="8"/>
      <c r="GK71" s="8"/>
      <c r="GL71" s="8"/>
      <c r="GM71" s="8"/>
      <c r="GN71" s="8"/>
      <c r="GO71" s="8"/>
      <c r="GP71" s="8"/>
      <c r="GQ71" s="8"/>
      <c r="GR71" s="8"/>
      <c r="GS71" s="8"/>
      <c r="GT71" s="8"/>
      <c r="GU71" s="8"/>
      <c r="GV71" s="8"/>
      <c r="GW71" s="8"/>
      <c r="GX71" s="8"/>
      <c r="GY71" s="8"/>
      <c r="GZ71" s="8"/>
      <c r="HA71" s="8"/>
      <c r="HB71" s="8"/>
      <c r="HC71" s="8"/>
      <c r="HD71" s="8"/>
      <c r="HE71" s="8"/>
      <c r="HF71" s="8"/>
      <c r="HG71" s="8"/>
      <c r="HH71" s="8"/>
      <c r="HI71" s="8"/>
      <c r="HJ71" s="8"/>
      <c r="HK71" s="8"/>
      <c r="HL71" s="8"/>
      <c r="HM71" s="8"/>
      <c r="HN71" s="8"/>
      <c r="HO71" s="8"/>
      <c r="HP71" s="8"/>
      <c r="HQ71" s="8"/>
      <c r="HR71" s="8"/>
      <c r="HS71" s="8"/>
      <c r="HT71" s="8"/>
      <c r="HU71" s="8"/>
      <c r="HV71" s="8"/>
      <c r="HW71" s="8"/>
      <c r="HX71" s="8"/>
      <c r="HY71" s="8"/>
      <c r="HZ71" s="8"/>
      <c r="IA71" s="8"/>
      <c r="IB71" s="8"/>
      <c r="IC71" s="8"/>
      <c r="ID71" s="8"/>
      <c r="IE71" s="8"/>
      <c r="IF71" s="8"/>
      <c r="IG71" s="8"/>
      <c r="IH71" s="8"/>
      <c r="II71" s="8"/>
      <c r="IJ71" s="8"/>
      <c r="IK71" s="8"/>
      <c r="IL71" s="8"/>
      <c r="IM71" s="8"/>
    </row>
    <row r="72" spans="1:247" x14ac:dyDescent="0.25">
      <c r="A72" s="4">
        <v>2131</v>
      </c>
      <c r="B72" s="9" t="s">
        <v>3064</v>
      </c>
      <c r="C72" s="10" t="s">
        <v>9</v>
      </c>
      <c r="D72" s="1721" t="s">
        <v>3060</v>
      </c>
      <c r="E72" s="1728"/>
      <c r="F72" s="1723">
        <f t="shared" si="0"/>
        <v>1.0209999999999999</v>
      </c>
      <c r="G72" s="1729">
        <f t="shared" si="8"/>
        <v>1.0269999999999999</v>
      </c>
      <c r="H72" s="1728">
        <f>+$H$3</f>
        <v>1.0029999999999999</v>
      </c>
      <c r="I72" s="1730"/>
      <c r="J72" s="1730"/>
      <c r="K72" s="1730"/>
      <c r="L72" s="1730"/>
      <c r="M72" s="1730"/>
      <c r="N72" s="1729">
        <f t="shared" si="9"/>
        <v>1.0029999999999999</v>
      </c>
      <c r="O72" s="1731">
        <f>+$O$3</f>
        <v>1.0209999999999999</v>
      </c>
      <c r="P72" s="1728">
        <f t="shared" si="10"/>
        <v>1.032</v>
      </c>
      <c r="Q72" s="1729">
        <f t="shared" si="11"/>
        <v>1.0349999999999999</v>
      </c>
      <c r="R72" s="1732">
        <f>PRODUCT(E72:Q72)</f>
        <v>1.1503866704650523</v>
      </c>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c r="ED72" s="8"/>
      <c r="EE72" s="8"/>
      <c r="EF72" s="8"/>
      <c r="EG72" s="8"/>
      <c r="EH72" s="8"/>
      <c r="EI72" s="8"/>
      <c r="EJ72" s="8"/>
      <c r="EK72" s="8"/>
      <c r="EL72" s="8"/>
      <c r="EM72" s="8"/>
      <c r="EN72" s="8"/>
      <c r="EO72" s="8"/>
      <c r="EP72" s="8"/>
      <c r="EQ72" s="8"/>
      <c r="ER72" s="8"/>
      <c r="ES72" s="8"/>
      <c r="ET72" s="8"/>
      <c r="EU72" s="8"/>
      <c r="EV72" s="8"/>
      <c r="EW72" s="8"/>
      <c r="EX72" s="8"/>
      <c r="EY72" s="8"/>
      <c r="EZ72" s="8"/>
      <c r="FA72" s="8"/>
      <c r="FB72" s="8"/>
      <c r="FC72" s="8"/>
      <c r="FD72" s="8"/>
      <c r="FE72" s="8"/>
      <c r="FF72" s="8"/>
      <c r="FG72" s="8"/>
      <c r="FH72" s="8"/>
      <c r="FI72" s="8"/>
      <c r="FJ72" s="8"/>
      <c r="FK72" s="8"/>
      <c r="FL72" s="8"/>
      <c r="FM72" s="8"/>
      <c r="FN72" s="8"/>
      <c r="FO72" s="8"/>
      <c r="FP72" s="8"/>
      <c r="FQ72" s="8"/>
      <c r="FR72" s="8"/>
      <c r="FS72" s="8"/>
      <c r="FT72" s="8"/>
      <c r="FU72" s="8"/>
      <c r="FV72" s="8"/>
      <c r="FW72" s="8"/>
      <c r="FX72" s="8"/>
      <c r="FY72" s="8"/>
      <c r="FZ72" s="8"/>
      <c r="GA72" s="8"/>
      <c r="GB72" s="8"/>
      <c r="GC72" s="8"/>
      <c r="GD72" s="8"/>
      <c r="GE72" s="8"/>
      <c r="GF72" s="8"/>
      <c r="GG72" s="8"/>
      <c r="GH72" s="8"/>
      <c r="GI72" s="8"/>
      <c r="GJ72" s="8"/>
      <c r="GK72" s="8"/>
      <c r="GL72" s="8"/>
      <c r="GM72" s="8"/>
      <c r="GN72" s="8"/>
      <c r="GO72" s="8"/>
      <c r="GP72" s="8"/>
      <c r="GQ72" s="8"/>
      <c r="GR72" s="8"/>
      <c r="GS72" s="8"/>
      <c r="GT72" s="8"/>
      <c r="GU72" s="8"/>
      <c r="GV72" s="8"/>
      <c r="GW72" s="8"/>
      <c r="GX72" s="8"/>
      <c r="GY72" s="8"/>
      <c r="GZ72" s="8"/>
      <c r="HA72" s="8"/>
      <c r="HB72" s="8"/>
      <c r="HC72" s="8"/>
      <c r="HD72" s="8"/>
      <c r="HE72" s="8"/>
      <c r="HF72" s="8"/>
      <c r="HG72" s="8"/>
      <c r="HH72" s="8"/>
      <c r="HI72" s="8"/>
      <c r="HJ72" s="8"/>
      <c r="HK72" s="8"/>
      <c r="HL72" s="8"/>
      <c r="HM72" s="8"/>
      <c r="HN72" s="8"/>
      <c r="HO72" s="8"/>
      <c r="HP72" s="8"/>
      <c r="HQ72" s="8"/>
      <c r="HR72" s="8"/>
      <c r="HS72" s="8"/>
      <c r="HT72" s="8"/>
      <c r="HU72" s="8"/>
      <c r="HV72" s="8"/>
      <c r="HW72" s="8"/>
      <c r="HX72" s="8"/>
      <c r="HY72" s="8"/>
      <c r="HZ72" s="8"/>
      <c r="IA72" s="8"/>
      <c r="IB72" s="8"/>
      <c r="IC72" s="8"/>
      <c r="ID72" s="8"/>
      <c r="IE72" s="8"/>
      <c r="IF72" s="8"/>
      <c r="IG72" s="8"/>
      <c r="IH72" s="8"/>
      <c r="II72" s="8"/>
      <c r="IJ72" s="8"/>
      <c r="IK72" s="8"/>
      <c r="IL72" s="8"/>
      <c r="IM72" s="8"/>
    </row>
    <row r="73" spans="1:247" x14ac:dyDescent="0.25">
      <c r="A73" s="4">
        <v>2134</v>
      </c>
      <c r="B73" s="9" t="s">
        <v>84</v>
      </c>
      <c r="C73" s="10" t="s">
        <v>9</v>
      </c>
      <c r="D73" s="1721" t="s">
        <v>3062</v>
      </c>
      <c r="E73" s="1728"/>
      <c r="F73" s="1723">
        <f t="shared" si="0"/>
        <v>1.0209999999999999</v>
      </c>
      <c r="G73" s="1729">
        <f t="shared" si="8"/>
        <v>1.0269999999999999</v>
      </c>
      <c r="H73" s="1728"/>
      <c r="I73" s="1730"/>
      <c r="J73" s="1730">
        <f t="shared" si="12"/>
        <v>1.0049999999999999</v>
      </c>
      <c r="K73" s="1730"/>
      <c r="L73" s="1730"/>
      <c r="M73" s="1730"/>
      <c r="N73" s="1729">
        <f t="shared" si="9"/>
        <v>1.0029999999999999</v>
      </c>
      <c r="O73" s="1731"/>
      <c r="P73" s="1728">
        <f t="shared" si="10"/>
        <v>1.032</v>
      </c>
      <c r="Q73" s="1729">
        <f t="shared" si="11"/>
        <v>1.0349999999999999</v>
      </c>
      <c r="R73" s="1732">
        <f t="shared" si="1"/>
        <v>1.12897214704308</v>
      </c>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c r="ED73" s="8"/>
      <c r="EE73" s="8"/>
      <c r="EF73" s="8"/>
      <c r="EG73" s="8"/>
      <c r="EH73" s="8"/>
      <c r="EI73" s="8"/>
      <c r="EJ73" s="8"/>
      <c r="EK73" s="8"/>
      <c r="EL73" s="8"/>
      <c r="EM73" s="8"/>
      <c r="EN73" s="8"/>
      <c r="EO73" s="8"/>
      <c r="EP73" s="8"/>
      <c r="EQ73" s="8"/>
      <c r="ER73" s="8"/>
      <c r="ES73" s="8"/>
      <c r="ET73" s="8"/>
      <c r="EU73" s="8"/>
      <c r="EV73" s="8"/>
      <c r="EW73" s="8"/>
      <c r="EX73" s="8"/>
      <c r="EY73" s="8"/>
      <c r="EZ73" s="8"/>
      <c r="FA73" s="8"/>
      <c r="FB73" s="8"/>
      <c r="FC73" s="8"/>
      <c r="FD73" s="8"/>
      <c r="FE73" s="8"/>
      <c r="FF73" s="8"/>
      <c r="FG73" s="8"/>
      <c r="FH73" s="8"/>
      <c r="FI73" s="8"/>
      <c r="FJ73" s="8"/>
      <c r="FK73" s="8"/>
      <c r="FL73" s="8"/>
      <c r="FM73" s="8"/>
      <c r="FN73" s="8"/>
      <c r="FO73" s="8"/>
      <c r="FP73" s="8"/>
      <c r="FQ73" s="8"/>
      <c r="FR73" s="8"/>
      <c r="FS73" s="8"/>
      <c r="FT73" s="8"/>
      <c r="FU73" s="8"/>
      <c r="FV73" s="8"/>
      <c r="FW73" s="8"/>
      <c r="FX73" s="8"/>
      <c r="FY73" s="8"/>
      <c r="FZ73" s="8"/>
      <c r="GA73" s="8"/>
      <c r="GB73" s="8"/>
      <c r="GC73" s="8"/>
      <c r="GD73" s="8"/>
      <c r="GE73" s="8"/>
      <c r="GF73" s="8"/>
      <c r="GG73" s="8"/>
      <c r="GH73" s="8"/>
      <c r="GI73" s="8"/>
      <c r="GJ73" s="8"/>
      <c r="GK73" s="8"/>
      <c r="GL73" s="8"/>
      <c r="GM73" s="8"/>
      <c r="GN73" s="8"/>
      <c r="GO73" s="8"/>
      <c r="GP73" s="8"/>
      <c r="GQ73" s="8"/>
      <c r="GR73" s="8"/>
      <c r="GS73" s="8"/>
      <c r="GT73" s="8"/>
      <c r="GU73" s="8"/>
      <c r="GV73" s="8"/>
      <c r="GW73" s="8"/>
      <c r="GX73" s="8"/>
      <c r="GY73" s="8"/>
      <c r="GZ73" s="8"/>
      <c r="HA73" s="8"/>
      <c r="HB73" s="8"/>
      <c r="HC73" s="8"/>
      <c r="HD73" s="8"/>
      <c r="HE73" s="8"/>
      <c r="HF73" s="8"/>
      <c r="HG73" s="8"/>
      <c r="HH73" s="8"/>
      <c r="HI73" s="8"/>
      <c r="HJ73" s="8"/>
      <c r="HK73" s="8"/>
      <c r="HL73" s="8"/>
      <c r="HM73" s="8"/>
      <c r="HN73" s="8"/>
      <c r="HO73" s="8"/>
      <c r="HP73" s="8"/>
      <c r="HQ73" s="8"/>
      <c r="HR73" s="8"/>
      <c r="HS73" s="8"/>
      <c r="HT73" s="8"/>
      <c r="HU73" s="8"/>
      <c r="HV73" s="8"/>
      <c r="HW73" s="8"/>
      <c r="HX73" s="8"/>
      <c r="HY73" s="8"/>
      <c r="HZ73" s="8"/>
      <c r="IA73" s="8"/>
      <c r="IB73" s="8"/>
      <c r="IC73" s="8"/>
      <c r="ID73" s="8"/>
      <c r="IE73" s="8"/>
      <c r="IF73" s="8"/>
      <c r="IG73" s="8"/>
      <c r="IH73" s="8"/>
      <c r="II73" s="8"/>
      <c r="IJ73" s="8"/>
      <c r="IK73" s="8"/>
      <c r="IL73" s="8"/>
      <c r="IM73" s="8"/>
    </row>
    <row r="74" spans="1:247" x14ac:dyDescent="0.25">
      <c r="A74" s="4">
        <v>2152</v>
      </c>
      <c r="B74" s="9" t="s">
        <v>85</v>
      </c>
      <c r="C74" s="10" t="s">
        <v>9</v>
      </c>
      <c r="D74" s="1721" t="s">
        <v>3062</v>
      </c>
      <c r="E74" s="1728"/>
      <c r="F74" s="1723">
        <f t="shared" si="0"/>
        <v>1.0209999999999999</v>
      </c>
      <c r="G74" s="1729">
        <f t="shared" si="8"/>
        <v>1.0269999999999999</v>
      </c>
      <c r="H74" s="1728">
        <f>+$H$3</f>
        <v>1.0029999999999999</v>
      </c>
      <c r="I74" s="1730">
        <f>+$I$3</f>
        <v>1.0289999999999999</v>
      </c>
      <c r="J74" s="1730">
        <f t="shared" si="12"/>
        <v>1.0049999999999999</v>
      </c>
      <c r="K74" s="1730"/>
      <c r="L74" s="1730"/>
      <c r="M74" s="1730">
        <f t="shared" ref="M74:M80" si="13">+$M$3</f>
        <v>1.0029999999999999</v>
      </c>
      <c r="N74" s="1729">
        <f t="shared" si="9"/>
        <v>1.0029999999999999</v>
      </c>
      <c r="O74" s="1731">
        <f t="shared" ref="O74:O80" si="14">+$O$3</f>
        <v>1.0209999999999999</v>
      </c>
      <c r="P74" s="1728">
        <v>1.032</v>
      </c>
      <c r="Q74" s="1729">
        <f t="shared" si="11"/>
        <v>1.0349999999999999</v>
      </c>
      <c r="R74" s="1732">
        <f t="shared" si="1"/>
        <v>1.1932356231980656</v>
      </c>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c r="ED74" s="8"/>
      <c r="EE74" s="8"/>
      <c r="EF74" s="8"/>
      <c r="EG74" s="8"/>
      <c r="EH74" s="8"/>
      <c r="EI74" s="8"/>
      <c r="EJ74" s="8"/>
      <c r="EK74" s="8"/>
      <c r="EL74" s="8"/>
      <c r="EM74" s="8"/>
      <c r="EN74" s="8"/>
      <c r="EO74" s="8"/>
      <c r="EP74" s="8"/>
      <c r="EQ74" s="8"/>
      <c r="ER74" s="8"/>
      <c r="ES74" s="8"/>
      <c r="ET74" s="8"/>
      <c r="EU74" s="8"/>
      <c r="EV74" s="8"/>
      <c r="EW74" s="8"/>
      <c r="EX74" s="8"/>
      <c r="EY74" s="8"/>
      <c r="EZ74" s="8"/>
      <c r="FA74" s="8"/>
      <c r="FB74" s="8"/>
      <c r="FC74" s="8"/>
      <c r="FD74" s="8"/>
      <c r="FE74" s="8"/>
      <c r="FF74" s="8"/>
      <c r="FG74" s="8"/>
      <c r="FH74" s="8"/>
      <c r="FI74" s="8"/>
      <c r="FJ74" s="8"/>
      <c r="FK74" s="8"/>
      <c r="FL74" s="8"/>
      <c r="FM74" s="8"/>
      <c r="FN74" s="8"/>
      <c r="FO74" s="8"/>
      <c r="FP74" s="8"/>
      <c r="FQ74" s="8"/>
      <c r="FR74" s="8"/>
      <c r="FS74" s="8"/>
      <c r="FT74" s="8"/>
      <c r="FU74" s="8"/>
      <c r="FV74" s="8"/>
      <c r="FW74" s="8"/>
      <c r="FX74" s="8"/>
      <c r="FY74" s="8"/>
      <c r="FZ74" s="8"/>
      <c r="GA74" s="8"/>
      <c r="GB74" s="8"/>
      <c r="GC74" s="8"/>
      <c r="GD74" s="8"/>
      <c r="GE74" s="8"/>
      <c r="GF74" s="8"/>
      <c r="GG74" s="8"/>
      <c r="GH74" s="8"/>
      <c r="GI74" s="8"/>
      <c r="GJ74" s="8"/>
      <c r="GK74" s="8"/>
      <c r="GL74" s="8"/>
      <c r="GM74" s="8"/>
      <c r="GN74" s="8"/>
      <c r="GO74" s="8"/>
      <c r="GP74" s="8"/>
      <c r="GQ74" s="8"/>
      <c r="GR74" s="8"/>
      <c r="GS74" s="8"/>
      <c r="GT74" s="8"/>
      <c r="GU74" s="8"/>
      <c r="GV74" s="8"/>
      <c r="GW74" s="8"/>
      <c r="GX74" s="8"/>
      <c r="GY74" s="8"/>
      <c r="GZ74" s="8"/>
      <c r="HA74" s="8"/>
      <c r="HB74" s="8"/>
      <c r="HC74" s="8"/>
      <c r="HD74" s="8"/>
      <c r="HE74" s="8"/>
      <c r="HF74" s="8"/>
      <c r="HG74" s="8"/>
      <c r="HH74" s="8"/>
      <c r="HI74" s="8"/>
      <c r="HJ74" s="8"/>
      <c r="HK74" s="8"/>
      <c r="HL74" s="8"/>
      <c r="HM74" s="8"/>
      <c r="HN74" s="8"/>
      <c r="HO74" s="8"/>
      <c r="HP74" s="8"/>
      <c r="HQ74" s="8"/>
      <c r="HR74" s="8"/>
      <c r="HS74" s="8"/>
      <c r="HT74" s="8"/>
      <c r="HU74" s="8"/>
      <c r="HV74" s="8"/>
      <c r="HW74" s="8"/>
      <c r="HX74" s="8"/>
      <c r="HY74" s="8"/>
      <c r="HZ74" s="8"/>
      <c r="IA74" s="8"/>
      <c r="IB74" s="8"/>
      <c r="IC74" s="8"/>
      <c r="ID74" s="8"/>
      <c r="IE74" s="8"/>
      <c r="IF74" s="8"/>
      <c r="IG74" s="8"/>
      <c r="IH74" s="8"/>
      <c r="II74" s="8"/>
      <c r="IJ74" s="8"/>
      <c r="IK74" s="8"/>
      <c r="IL74" s="8"/>
      <c r="IM74" s="8"/>
    </row>
    <row r="75" spans="1:247" x14ac:dyDescent="0.25">
      <c r="A75" s="4">
        <v>2154</v>
      </c>
      <c r="B75" s="9" t="s">
        <v>86</v>
      </c>
      <c r="C75" s="10" t="s">
        <v>9</v>
      </c>
      <c r="D75" s="1721" t="s">
        <v>3060</v>
      </c>
      <c r="E75" s="1728"/>
      <c r="F75" s="1723">
        <f t="shared" si="0"/>
        <v>1.0209999999999999</v>
      </c>
      <c r="G75" s="1729">
        <f t="shared" si="8"/>
        <v>1.0269999999999999</v>
      </c>
      <c r="H75" s="1728"/>
      <c r="I75" s="1730"/>
      <c r="J75" s="1730">
        <f t="shared" si="12"/>
        <v>1.0049999999999999</v>
      </c>
      <c r="K75" s="1730"/>
      <c r="L75" s="1730"/>
      <c r="M75" s="1730">
        <f t="shared" si="13"/>
        <v>1.0029999999999999</v>
      </c>
      <c r="N75" s="1729">
        <f t="shared" si="9"/>
        <v>1.0029999999999999</v>
      </c>
      <c r="O75" s="1731">
        <f t="shared" si="14"/>
        <v>1.0209999999999999</v>
      </c>
      <c r="P75" s="1733">
        <v>1.032</v>
      </c>
      <c r="Q75" s="1729">
        <f t="shared" si="11"/>
        <v>1.0349999999999999</v>
      </c>
      <c r="R75" s="1732">
        <f t="shared" si="1"/>
        <v>1.1561386038173773</v>
      </c>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c r="ED75" s="8"/>
      <c r="EE75" s="8"/>
      <c r="EF75" s="8"/>
      <c r="EG75" s="8"/>
      <c r="EH75" s="8"/>
      <c r="EI75" s="8"/>
      <c r="EJ75" s="8"/>
      <c r="EK75" s="8"/>
      <c r="EL75" s="8"/>
      <c r="EM75" s="8"/>
      <c r="EN75" s="8"/>
      <c r="EO75" s="8"/>
      <c r="EP75" s="8"/>
      <c r="EQ75" s="8"/>
      <c r="ER75" s="8"/>
      <c r="ES75" s="8"/>
      <c r="ET75" s="8"/>
      <c r="EU75" s="8"/>
      <c r="EV75" s="8"/>
      <c r="EW75" s="8"/>
      <c r="EX75" s="8"/>
      <c r="EY75" s="8"/>
      <c r="EZ75" s="8"/>
      <c r="FA75" s="8"/>
      <c r="FB75" s="8"/>
      <c r="FC75" s="8"/>
      <c r="FD75" s="8"/>
      <c r="FE75" s="8"/>
      <c r="FF75" s="8"/>
      <c r="FG75" s="8"/>
      <c r="FH75" s="8"/>
      <c r="FI75" s="8"/>
      <c r="FJ75" s="8"/>
      <c r="FK75" s="8"/>
      <c r="FL75" s="8"/>
      <c r="FM75" s="8"/>
      <c r="FN75" s="8"/>
      <c r="FO75" s="8"/>
      <c r="FP75" s="8"/>
      <c r="FQ75" s="8"/>
      <c r="FR75" s="8"/>
      <c r="FS75" s="8"/>
      <c r="FT75" s="8"/>
      <c r="FU75" s="8"/>
      <c r="FV75" s="8"/>
      <c r="FW75" s="8"/>
      <c r="FX75" s="8"/>
      <c r="FY75" s="8"/>
      <c r="FZ75" s="8"/>
      <c r="GA75" s="8"/>
      <c r="GB75" s="8"/>
      <c r="GC75" s="8"/>
      <c r="GD75" s="8"/>
      <c r="GE75" s="8"/>
      <c r="GF75" s="8"/>
      <c r="GG75" s="8"/>
      <c r="GH75" s="8"/>
      <c r="GI75" s="8"/>
      <c r="GJ75" s="8"/>
      <c r="GK75" s="8"/>
      <c r="GL75" s="8"/>
      <c r="GM75" s="8"/>
      <c r="GN75" s="8"/>
      <c r="GO75" s="8"/>
      <c r="GP75" s="8"/>
      <c r="GQ75" s="8"/>
      <c r="GR75" s="8"/>
      <c r="GS75" s="8"/>
      <c r="GT75" s="8"/>
      <c r="GU75" s="8"/>
      <c r="GV75" s="8"/>
      <c r="GW75" s="8"/>
      <c r="GX75" s="8"/>
      <c r="GY75" s="8"/>
      <c r="GZ75" s="8"/>
      <c r="HA75" s="8"/>
      <c r="HB75" s="8"/>
      <c r="HC75" s="8"/>
      <c r="HD75" s="8"/>
      <c r="HE75" s="8"/>
      <c r="HF75" s="8"/>
      <c r="HG75" s="8"/>
      <c r="HH75" s="8"/>
      <c r="HI75" s="8"/>
      <c r="HJ75" s="8"/>
      <c r="HK75" s="8"/>
      <c r="HL75" s="8"/>
      <c r="HM75" s="8"/>
      <c r="HN75" s="8"/>
      <c r="HO75" s="8"/>
      <c r="HP75" s="8"/>
      <c r="HQ75" s="8"/>
      <c r="HR75" s="8"/>
      <c r="HS75" s="8"/>
      <c r="HT75" s="8"/>
      <c r="HU75" s="8"/>
      <c r="HV75" s="8"/>
      <c r="HW75" s="8"/>
      <c r="HX75" s="8"/>
      <c r="HY75" s="8"/>
      <c r="HZ75" s="8"/>
      <c r="IA75" s="8"/>
      <c r="IB75" s="8"/>
      <c r="IC75" s="8"/>
      <c r="ID75" s="8"/>
      <c r="IE75" s="8"/>
      <c r="IF75" s="8"/>
      <c r="IG75" s="8"/>
      <c r="IH75" s="8"/>
      <c r="II75" s="8"/>
      <c r="IJ75" s="8"/>
      <c r="IK75" s="8"/>
      <c r="IL75" s="8"/>
      <c r="IM75" s="8"/>
    </row>
    <row r="76" spans="1:247" x14ac:dyDescent="0.25">
      <c r="A76" s="4">
        <v>2161</v>
      </c>
      <c r="B76" s="9" t="s">
        <v>87</v>
      </c>
      <c r="C76" s="10" t="s">
        <v>9</v>
      </c>
      <c r="D76" s="1721" t="s">
        <v>3060</v>
      </c>
      <c r="E76" s="1728"/>
      <c r="F76" s="1723">
        <f t="shared" si="0"/>
        <v>1.0209999999999999</v>
      </c>
      <c r="G76" s="1729">
        <f t="shared" si="8"/>
        <v>1.0269999999999999</v>
      </c>
      <c r="H76" s="1728"/>
      <c r="I76" s="1730"/>
      <c r="J76" s="1730">
        <f t="shared" si="12"/>
        <v>1.0049999999999999</v>
      </c>
      <c r="K76" s="1730"/>
      <c r="L76" s="1730"/>
      <c r="M76" s="1730">
        <f t="shared" si="13"/>
        <v>1.0029999999999999</v>
      </c>
      <c r="N76" s="1729">
        <f t="shared" si="9"/>
        <v>1.0029999999999999</v>
      </c>
      <c r="O76" s="1731">
        <f t="shared" si="14"/>
        <v>1.0209999999999999</v>
      </c>
      <c r="P76" s="1728">
        <f t="shared" si="10"/>
        <v>1.032</v>
      </c>
      <c r="Q76" s="1729">
        <f t="shared" si="11"/>
        <v>1.0349999999999999</v>
      </c>
      <c r="R76" s="1732">
        <f>PRODUCT(E76:Q76)</f>
        <v>1.1561386038173773</v>
      </c>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c r="ED76" s="8"/>
      <c r="EE76" s="8"/>
      <c r="EF76" s="8"/>
      <c r="EG76" s="8"/>
      <c r="EH76" s="8"/>
      <c r="EI76" s="8"/>
      <c r="EJ76" s="8"/>
      <c r="EK76" s="8"/>
      <c r="EL76" s="8"/>
      <c r="EM76" s="8"/>
      <c r="EN76" s="8"/>
      <c r="EO76" s="8"/>
      <c r="EP76" s="8"/>
      <c r="EQ76" s="8"/>
      <c r="ER76" s="8"/>
      <c r="ES76" s="8"/>
      <c r="ET76" s="8"/>
      <c r="EU76" s="8"/>
      <c r="EV76" s="8"/>
      <c r="EW76" s="8"/>
      <c r="EX76" s="8"/>
      <c r="EY76" s="8"/>
      <c r="EZ76" s="8"/>
      <c r="FA76" s="8"/>
      <c r="FB76" s="8"/>
      <c r="FC76" s="8"/>
      <c r="FD76" s="8"/>
      <c r="FE76" s="8"/>
      <c r="FF76" s="8"/>
      <c r="FG76" s="8"/>
      <c r="FH76" s="8"/>
      <c r="FI76" s="8"/>
      <c r="FJ76" s="8"/>
      <c r="FK76" s="8"/>
      <c r="FL76" s="8"/>
      <c r="FM76" s="8"/>
      <c r="FN76" s="8"/>
      <c r="FO76" s="8"/>
      <c r="FP76" s="8"/>
      <c r="FQ76" s="8"/>
      <c r="FR76" s="8"/>
      <c r="FS76" s="8"/>
      <c r="FT76" s="8"/>
      <c r="FU76" s="8"/>
      <c r="FV76" s="8"/>
      <c r="FW76" s="8"/>
      <c r="FX76" s="8"/>
      <c r="FY76" s="8"/>
      <c r="FZ76" s="8"/>
      <c r="GA76" s="8"/>
      <c r="GB76" s="8"/>
      <c r="GC76" s="8"/>
      <c r="GD76" s="8"/>
      <c r="GE76" s="8"/>
      <c r="GF76" s="8"/>
      <c r="GG76" s="8"/>
      <c r="GH76" s="8"/>
      <c r="GI76" s="8"/>
      <c r="GJ76" s="8"/>
      <c r="GK76" s="8"/>
      <c r="GL76" s="8"/>
      <c r="GM76" s="8"/>
      <c r="GN76" s="8"/>
      <c r="GO76" s="8"/>
      <c r="GP76" s="8"/>
      <c r="GQ76" s="8"/>
      <c r="GR76" s="8"/>
      <c r="GS76" s="8"/>
      <c r="GT76" s="8"/>
      <c r="GU76" s="8"/>
      <c r="GV76" s="8"/>
      <c r="GW76" s="8"/>
      <c r="GX76" s="8"/>
      <c r="GY76" s="8"/>
      <c r="GZ76" s="8"/>
      <c r="HA76" s="8"/>
      <c r="HB76" s="8"/>
      <c r="HC76" s="8"/>
      <c r="HD76" s="8"/>
      <c r="HE76" s="8"/>
      <c r="HF76" s="8"/>
      <c r="HG76" s="8"/>
      <c r="HH76" s="8"/>
      <c r="HI76" s="8"/>
      <c r="HJ76" s="8"/>
      <c r="HK76" s="8"/>
      <c r="HL76" s="8"/>
      <c r="HM76" s="8"/>
      <c r="HN76" s="8"/>
      <c r="HO76" s="8"/>
      <c r="HP76" s="8"/>
      <c r="HQ76" s="8"/>
      <c r="HR76" s="8"/>
      <c r="HS76" s="8"/>
      <c r="HT76" s="8"/>
      <c r="HU76" s="8"/>
      <c r="HV76" s="8"/>
      <c r="HW76" s="8"/>
      <c r="HX76" s="8"/>
      <c r="HY76" s="8"/>
      <c r="HZ76" s="8"/>
      <c r="IA76" s="8"/>
      <c r="IB76" s="8"/>
      <c r="IC76" s="8"/>
      <c r="ID76" s="8"/>
      <c r="IE76" s="8"/>
      <c r="IF76" s="8"/>
      <c r="IG76" s="8"/>
      <c r="IH76" s="8"/>
      <c r="II76" s="8"/>
      <c r="IJ76" s="8"/>
      <c r="IK76" s="8"/>
      <c r="IL76" s="8"/>
      <c r="IM76" s="8"/>
    </row>
    <row r="77" spans="1:247" x14ac:dyDescent="0.25">
      <c r="A77" s="4">
        <v>2162</v>
      </c>
      <c r="B77" s="9" t="s">
        <v>88</v>
      </c>
      <c r="C77" s="10" t="s">
        <v>9</v>
      </c>
      <c r="D77" s="1721" t="s">
        <v>3060</v>
      </c>
      <c r="E77" s="1728"/>
      <c r="F77" s="1723">
        <f t="shared" si="0"/>
        <v>1.0209999999999999</v>
      </c>
      <c r="G77" s="1729">
        <f t="shared" si="8"/>
        <v>1.0269999999999999</v>
      </c>
      <c r="H77" s="1728"/>
      <c r="I77" s="1730"/>
      <c r="J77" s="1730">
        <f t="shared" si="12"/>
        <v>1.0049999999999999</v>
      </c>
      <c r="K77" s="1730"/>
      <c r="L77" s="1730"/>
      <c r="M77" s="1730">
        <f t="shared" si="13"/>
        <v>1.0029999999999999</v>
      </c>
      <c r="N77" s="1729">
        <f t="shared" si="9"/>
        <v>1.0029999999999999</v>
      </c>
      <c r="O77" s="1731">
        <f t="shared" si="14"/>
        <v>1.0209999999999999</v>
      </c>
      <c r="P77" s="1728">
        <f t="shared" si="10"/>
        <v>1.032</v>
      </c>
      <c r="Q77" s="1729">
        <f t="shared" si="11"/>
        <v>1.0349999999999999</v>
      </c>
      <c r="R77" s="1732">
        <f>PRODUCT(E77:Q77)</f>
        <v>1.1561386038173773</v>
      </c>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c r="ED77" s="8"/>
      <c r="EE77" s="8"/>
      <c r="EF77" s="8"/>
      <c r="EG77" s="8"/>
      <c r="EH77" s="8"/>
      <c r="EI77" s="8"/>
      <c r="EJ77" s="8"/>
      <c r="EK77" s="8"/>
      <c r="EL77" s="8"/>
      <c r="EM77" s="8"/>
      <c r="EN77" s="8"/>
      <c r="EO77" s="8"/>
      <c r="EP77" s="8"/>
      <c r="EQ77" s="8"/>
      <c r="ER77" s="8"/>
      <c r="ES77" s="8"/>
      <c r="ET77" s="8"/>
      <c r="EU77" s="8"/>
      <c r="EV77" s="8"/>
      <c r="EW77" s="8"/>
      <c r="EX77" s="8"/>
      <c r="EY77" s="8"/>
      <c r="EZ77" s="8"/>
      <c r="FA77" s="8"/>
      <c r="FB77" s="8"/>
      <c r="FC77" s="8"/>
      <c r="FD77" s="8"/>
      <c r="FE77" s="8"/>
      <c r="FF77" s="8"/>
      <c r="FG77" s="8"/>
      <c r="FH77" s="8"/>
      <c r="FI77" s="8"/>
      <c r="FJ77" s="8"/>
      <c r="FK77" s="8"/>
      <c r="FL77" s="8"/>
      <c r="FM77" s="8"/>
      <c r="FN77" s="8"/>
      <c r="FO77" s="8"/>
      <c r="FP77" s="8"/>
      <c r="FQ77" s="8"/>
      <c r="FR77" s="8"/>
      <c r="FS77" s="8"/>
      <c r="FT77" s="8"/>
      <c r="FU77" s="8"/>
      <c r="FV77" s="8"/>
      <c r="FW77" s="8"/>
      <c r="FX77" s="8"/>
      <c r="FY77" s="8"/>
      <c r="FZ77" s="8"/>
      <c r="GA77" s="8"/>
      <c r="GB77" s="8"/>
      <c r="GC77" s="8"/>
      <c r="GD77" s="8"/>
      <c r="GE77" s="8"/>
      <c r="GF77" s="8"/>
      <c r="GG77" s="8"/>
      <c r="GH77" s="8"/>
      <c r="GI77" s="8"/>
      <c r="GJ77" s="8"/>
      <c r="GK77" s="8"/>
      <c r="GL77" s="8"/>
      <c r="GM77" s="8"/>
      <c r="GN77" s="8"/>
      <c r="GO77" s="8"/>
      <c r="GP77" s="8"/>
      <c r="GQ77" s="8"/>
      <c r="GR77" s="8"/>
      <c r="GS77" s="8"/>
      <c r="GT77" s="8"/>
      <c r="GU77" s="8"/>
      <c r="GV77" s="8"/>
      <c r="GW77" s="8"/>
      <c r="GX77" s="8"/>
      <c r="GY77" s="8"/>
      <c r="GZ77" s="8"/>
      <c r="HA77" s="8"/>
      <c r="HB77" s="8"/>
      <c r="HC77" s="8"/>
      <c r="HD77" s="8"/>
      <c r="HE77" s="8"/>
      <c r="HF77" s="8"/>
      <c r="HG77" s="8"/>
      <c r="HH77" s="8"/>
      <c r="HI77" s="8"/>
      <c r="HJ77" s="8"/>
      <c r="HK77" s="8"/>
      <c r="HL77" s="8"/>
      <c r="HM77" s="8"/>
      <c r="HN77" s="8"/>
      <c r="HO77" s="8"/>
      <c r="HP77" s="8"/>
      <c r="HQ77" s="8"/>
      <c r="HR77" s="8"/>
      <c r="HS77" s="8"/>
      <c r="HT77" s="8"/>
      <c r="HU77" s="8"/>
      <c r="HV77" s="8"/>
      <c r="HW77" s="8"/>
      <c r="HX77" s="8"/>
      <c r="HY77" s="8"/>
      <c r="HZ77" s="8"/>
      <c r="IA77" s="8"/>
      <c r="IB77" s="8"/>
      <c r="IC77" s="8"/>
      <c r="ID77" s="8"/>
      <c r="IE77" s="8"/>
      <c r="IF77" s="8"/>
      <c r="IG77" s="8"/>
      <c r="IH77" s="8"/>
      <c r="II77" s="8"/>
      <c r="IJ77" s="8"/>
      <c r="IK77" s="8"/>
      <c r="IL77" s="8"/>
      <c r="IM77" s="8"/>
    </row>
    <row r="78" spans="1:247" x14ac:dyDescent="0.25">
      <c r="A78" s="4">
        <v>2163</v>
      </c>
      <c r="B78" s="9" t="s">
        <v>89</v>
      </c>
      <c r="C78" s="10" t="s">
        <v>9</v>
      </c>
      <c r="D78" s="1721" t="s">
        <v>3060</v>
      </c>
      <c r="E78" s="1728"/>
      <c r="F78" s="1723">
        <f t="shared" si="0"/>
        <v>1.0209999999999999</v>
      </c>
      <c r="G78" s="1729">
        <f t="shared" si="8"/>
        <v>1.0269999999999999</v>
      </c>
      <c r="H78" s="1728"/>
      <c r="I78" s="1730"/>
      <c r="J78" s="1730">
        <f t="shared" si="12"/>
        <v>1.0049999999999999</v>
      </c>
      <c r="K78" s="1730"/>
      <c r="L78" s="1730"/>
      <c r="M78" s="1730">
        <f t="shared" si="13"/>
        <v>1.0029999999999999</v>
      </c>
      <c r="N78" s="1729">
        <f t="shared" si="9"/>
        <v>1.0029999999999999</v>
      </c>
      <c r="O78" s="1731">
        <f t="shared" si="14"/>
        <v>1.0209999999999999</v>
      </c>
      <c r="P78" s="1728">
        <f t="shared" si="10"/>
        <v>1.032</v>
      </c>
      <c r="Q78" s="1729">
        <f t="shared" si="11"/>
        <v>1.0349999999999999</v>
      </c>
      <c r="R78" s="1732">
        <f>PRODUCT(E78:Q78)</f>
        <v>1.1561386038173773</v>
      </c>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c r="ED78" s="8"/>
      <c r="EE78" s="8"/>
      <c r="EF78" s="8"/>
      <c r="EG78" s="8"/>
      <c r="EH78" s="8"/>
      <c r="EI78" s="8"/>
      <c r="EJ78" s="8"/>
      <c r="EK78" s="8"/>
      <c r="EL78" s="8"/>
      <c r="EM78" s="8"/>
      <c r="EN78" s="8"/>
      <c r="EO78" s="8"/>
      <c r="EP78" s="8"/>
      <c r="EQ78" s="8"/>
      <c r="ER78" s="8"/>
      <c r="ES78" s="8"/>
      <c r="ET78" s="8"/>
      <c r="EU78" s="8"/>
      <c r="EV78" s="8"/>
      <c r="EW78" s="8"/>
      <c r="EX78" s="8"/>
      <c r="EY78" s="8"/>
      <c r="EZ78" s="8"/>
      <c r="FA78" s="8"/>
      <c r="FB78" s="8"/>
      <c r="FC78" s="8"/>
      <c r="FD78" s="8"/>
      <c r="FE78" s="8"/>
      <c r="FF78" s="8"/>
      <c r="FG78" s="8"/>
      <c r="FH78" s="8"/>
      <c r="FI78" s="8"/>
      <c r="FJ78" s="8"/>
      <c r="FK78" s="8"/>
      <c r="FL78" s="8"/>
      <c r="FM78" s="8"/>
      <c r="FN78" s="8"/>
      <c r="FO78" s="8"/>
      <c r="FP78" s="8"/>
      <c r="FQ78" s="8"/>
      <c r="FR78" s="8"/>
      <c r="FS78" s="8"/>
      <c r="FT78" s="8"/>
      <c r="FU78" s="8"/>
      <c r="FV78" s="8"/>
      <c r="FW78" s="8"/>
      <c r="FX78" s="8"/>
      <c r="FY78" s="8"/>
      <c r="FZ78" s="8"/>
      <c r="GA78" s="8"/>
      <c r="GB78" s="8"/>
      <c r="GC78" s="8"/>
      <c r="GD78" s="8"/>
      <c r="GE78" s="8"/>
      <c r="GF78" s="8"/>
      <c r="GG78" s="8"/>
      <c r="GH78" s="8"/>
      <c r="GI78" s="8"/>
      <c r="GJ78" s="8"/>
      <c r="GK78" s="8"/>
      <c r="GL78" s="8"/>
      <c r="GM78" s="8"/>
      <c r="GN78" s="8"/>
      <c r="GO78" s="8"/>
      <c r="GP78" s="8"/>
      <c r="GQ78" s="8"/>
      <c r="GR78" s="8"/>
      <c r="GS78" s="8"/>
      <c r="GT78" s="8"/>
      <c r="GU78" s="8"/>
      <c r="GV78" s="8"/>
      <c r="GW78" s="8"/>
      <c r="GX78" s="8"/>
      <c r="GY78" s="8"/>
      <c r="GZ78" s="8"/>
      <c r="HA78" s="8"/>
      <c r="HB78" s="8"/>
      <c r="HC78" s="8"/>
      <c r="HD78" s="8"/>
      <c r="HE78" s="8"/>
      <c r="HF78" s="8"/>
      <c r="HG78" s="8"/>
      <c r="HH78" s="8"/>
      <c r="HI78" s="8"/>
      <c r="HJ78" s="8"/>
      <c r="HK78" s="8"/>
      <c r="HL78" s="8"/>
      <c r="HM78" s="8"/>
      <c r="HN78" s="8"/>
      <c r="HO78" s="8"/>
      <c r="HP78" s="8"/>
      <c r="HQ78" s="8"/>
      <c r="HR78" s="8"/>
      <c r="HS78" s="8"/>
      <c r="HT78" s="8"/>
      <c r="HU78" s="8"/>
      <c r="HV78" s="8"/>
      <c r="HW78" s="8"/>
      <c r="HX78" s="8"/>
      <c r="HY78" s="8"/>
      <c r="HZ78" s="8"/>
      <c r="IA78" s="8"/>
      <c r="IB78" s="8"/>
      <c r="IC78" s="8"/>
      <c r="ID78" s="8"/>
      <c r="IE78" s="8"/>
      <c r="IF78" s="8"/>
      <c r="IG78" s="8"/>
      <c r="IH78" s="8"/>
      <c r="II78" s="8"/>
      <c r="IJ78" s="8"/>
      <c r="IK78" s="8"/>
      <c r="IL78" s="8"/>
      <c r="IM78" s="8"/>
    </row>
    <row r="79" spans="1:247" x14ac:dyDescent="0.25">
      <c r="A79" s="4">
        <v>2173</v>
      </c>
      <c r="B79" s="9" t="s">
        <v>90</v>
      </c>
      <c r="C79" s="10" t="s">
        <v>11</v>
      </c>
      <c r="D79" s="1721" t="s">
        <v>3060</v>
      </c>
      <c r="E79" s="1728"/>
      <c r="F79" s="1723">
        <f t="shared" si="0"/>
        <v>1.0209999999999999</v>
      </c>
      <c r="G79" s="1729">
        <f t="shared" si="8"/>
        <v>1.0269999999999999</v>
      </c>
      <c r="H79" s="1728"/>
      <c r="I79" s="1730"/>
      <c r="J79" s="1730"/>
      <c r="K79" s="1730"/>
      <c r="L79" s="1730"/>
      <c r="M79" s="1730"/>
      <c r="N79" s="1729"/>
      <c r="O79" s="1731"/>
      <c r="P79" s="1728"/>
      <c r="Q79" s="1729"/>
      <c r="R79" s="1732">
        <f>PRODUCT(E79:Q79)</f>
        <v>1.0485669999999998</v>
      </c>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c r="ED79" s="8"/>
      <c r="EE79" s="8"/>
      <c r="EF79" s="8"/>
      <c r="EG79" s="8"/>
      <c r="EH79" s="8"/>
      <c r="EI79" s="8"/>
      <c r="EJ79" s="8"/>
      <c r="EK79" s="8"/>
      <c r="EL79" s="8"/>
      <c r="EM79" s="8"/>
      <c r="EN79" s="8"/>
      <c r="EO79" s="8"/>
      <c r="EP79" s="8"/>
      <c r="EQ79" s="8"/>
      <c r="ER79" s="8"/>
      <c r="ES79" s="8"/>
      <c r="ET79" s="8"/>
      <c r="EU79" s="8"/>
      <c r="EV79" s="8"/>
      <c r="EW79" s="8"/>
      <c r="EX79" s="8"/>
      <c r="EY79" s="8"/>
      <c r="EZ79" s="8"/>
      <c r="FA79" s="8"/>
      <c r="FB79" s="8"/>
      <c r="FC79" s="8"/>
      <c r="FD79" s="8"/>
      <c r="FE79" s="8"/>
      <c r="FF79" s="8"/>
      <c r="FG79" s="8"/>
      <c r="FH79" s="8"/>
      <c r="FI79" s="8"/>
      <c r="FJ79" s="8"/>
      <c r="FK79" s="8"/>
      <c r="FL79" s="8"/>
      <c r="FM79" s="8"/>
      <c r="FN79" s="8"/>
      <c r="FO79" s="8"/>
      <c r="FP79" s="8"/>
      <c r="FQ79" s="8"/>
      <c r="FR79" s="8"/>
      <c r="FS79" s="8"/>
      <c r="FT79" s="8"/>
      <c r="FU79" s="8"/>
      <c r="FV79" s="8"/>
      <c r="FW79" s="8"/>
      <c r="FX79" s="8"/>
      <c r="FY79" s="8"/>
      <c r="FZ79" s="8"/>
      <c r="GA79" s="8"/>
      <c r="GB79" s="8"/>
      <c r="GC79" s="8"/>
      <c r="GD79" s="8"/>
      <c r="GE79" s="8"/>
      <c r="GF79" s="8"/>
      <c r="GG79" s="8"/>
      <c r="GH79" s="8"/>
      <c r="GI79" s="8"/>
      <c r="GJ79" s="8"/>
      <c r="GK79" s="8"/>
      <c r="GL79" s="8"/>
      <c r="GM79" s="8"/>
      <c r="GN79" s="8"/>
      <c r="GO79" s="8"/>
      <c r="GP79" s="8"/>
      <c r="GQ79" s="8"/>
      <c r="GR79" s="8"/>
      <c r="GS79" s="8"/>
      <c r="GT79" s="8"/>
      <c r="GU79" s="8"/>
      <c r="GV79" s="8"/>
      <c r="GW79" s="8"/>
      <c r="GX79" s="8"/>
      <c r="GY79" s="8"/>
      <c r="GZ79" s="8"/>
      <c r="HA79" s="8"/>
      <c r="HB79" s="8"/>
      <c r="HC79" s="8"/>
      <c r="HD79" s="8"/>
      <c r="HE79" s="8"/>
      <c r="HF79" s="8"/>
      <c r="HG79" s="8"/>
      <c r="HH79" s="8"/>
      <c r="HI79" s="8"/>
      <c r="HJ79" s="8"/>
      <c r="HK79" s="8"/>
      <c r="HL79" s="8"/>
      <c r="HM79" s="8"/>
      <c r="HN79" s="8"/>
      <c r="HO79" s="8"/>
      <c r="HP79" s="8"/>
      <c r="HQ79" s="8"/>
      <c r="HR79" s="8"/>
      <c r="HS79" s="8"/>
      <c r="HT79" s="8"/>
      <c r="HU79" s="8"/>
      <c r="HV79" s="8"/>
      <c r="HW79" s="8"/>
      <c r="HX79" s="8"/>
      <c r="HY79" s="8"/>
      <c r="HZ79" s="8"/>
      <c r="IA79" s="8"/>
      <c r="IB79" s="8"/>
      <c r="IC79" s="8"/>
      <c r="ID79" s="8"/>
      <c r="IE79" s="8"/>
      <c r="IF79" s="8"/>
      <c r="IG79" s="8"/>
      <c r="IH79" s="8"/>
      <c r="II79" s="8"/>
      <c r="IJ79" s="8"/>
      <c r="IK79" s="8"/>
      <c r="IL79" s="8"/>
      <c r="IM79" s="8"/>
    </row>
    <row r="80" spans="1:247" x14ac:dyDescent="0.25">
      <c r="A80" s="4">
        <v>2191</v>
      </c>
      <c r="B80" s="9" t="s">
        <v>91</v>
      </c>
      <c r="C80" s="10" t="s">
        <v>9</v>
      </c>
      <c r="D80" s="1721" t="s">
        <v>3062</v>
      </c>
      <c r="E80" s="1728">
        <f>+$E$3</f>
        <v>1.0740000000000001</v>
      </c>
      <c r="F80" s="1723">
        <f t="shared" si="0"/>
        <v>1.0209999999999999</v>
      </c>
      <c r="G80" s="1729">
        <f t="shared" si="8"/>
        <v>1.0269999999999999</v>
      </c>
      <c r="H80" s="1728"/>
      <c r="I80" s="1730"/>
      <c r="J80" s="1730">
        <f t="shared" si="12"/>
        <v>1.0049999999999999</v>
      </c>
      <c r="K80" s="1730"/>
      <c r="L80" s="1730"/>
      <c r="M80" s="1730">
        <f t="shared" si="13"/>
        <v>1.0029999999999999</v>
      </c>
      <c r="N80" s="1729">
        <f t="shared" si="9"/>
        <v>1.0029999999999999</v>
      </c>
      <c r="O80" s="1731">
        <f t="shared" si="14"/>
        <v>1.0209999999999999</v>
      </c>
      <c r="P80" s="1728">
        <f t="shared" si="10"/>
        <v>1.032</v>
      </c>
      <c r="Q80" s="1729">
        <f t="shared" si="11"/>
        <v>1.0349999999999999</v>
      </c>
      <c r="R80" s="1732">
        <f t="shared" si="1"/>
        <v>1.2416928604998634</v>
      </c>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c r="ED80" s="8"/>
      <c r="EE80" s="8"/>
      <c r="EF80" s="8"/>
      <c r="EG80" s="8"/>
      <c r="EH80" s="8"/>
      <c r="EI80" s="8"/>
      <c r="EJ80" s="8"/>
      <c r="EK80" s="8"/>
      <c r="EL80" s="8"/>
      <c r="EM80" s="8"/>
      <c r="EN80" s="8"/>
      <c r="EO80" s="8"/>
      <c r="EP80" s="8"/>
      <c r="EQ80" s="8"/>
      <c r="ER80" s="8"/>
      <c r="ES80" s="8"/>
      <c r="ET80" s="8"/>
      <c r="EU80" s="8"/>
      <c r="EV80" s="8"/>
      <c r="EW80" s="8"/>
      <c r="EX80" s="8"/>
      <c r="EY80" s="8"/>
      <c r="EZ80" s="8"/>
      <c r="FA80" s="8"/>
      <c r="FB80" s="8"/>
      <c r="FC80" s="8"/>
      <c r="FD80" s="8"/>
      <c r="FE80" s="8"/>
      <c r="FF80" s="8"/>
      <c r="FG80" s="8"/>
      <c r="FH80" s="8"/>
      <c r="FI80" s="8"/>
      <c r="FJ80" s="8"/>
      <c r="FK80" s="8"/>
      <c r="FL80" s="8"/>
      <c r="FM80" s="8"/>
      <c r="FN80" s="8"/>
      <c r="FO80" s="8"/>
      <c r="FP80" s="8"/>
      <c r="FQ80" s="8"/>
      <c r="FR80" s="8"/>
      <c r="FS80" s="8"/>
      <c r="FT80" s="8"/>
      <c r="FU80" s="8"/>
      <c r="FV80" s="8"/>
      <c r="FW80" s="8"/>
      <c r="FX80" s="8"/>
      <c r="FY80" s="8"/>
      <c r="FZ80" s="8"/>
      <c r="GA80" s="8"/>
      <c r="GB80" s="8"/>
      <c r="GC80" s="8"/>
      <c r="GD80" s="8"/>
      <c r="GE80" s="8"/>
      <c r="GF80" s="8"/>
      <c r="GG80" s="8"/>
      <c r="GH80" s="8"/>
      <c r="GI80" s="8"/>
      <c r="GJ80" s="8"/>
      <c r="GK80" s="8"/>
      <c r="GL80" s="8"/>
      <c r="GM80" s="8"/>
      <c r="GN80" s="8"/>
      <c r="GO80" s="8"/>
      <c r="GP80" s="8"/>
      <c r="GQ80" s="8"/>
      <c r="GR80" s="8"/>
      <c r="GS80" s="8"/>
      <c r="GT80" s="8"/>
      <c r="GU80" s="8"/>
      <c r="GV80" s="8"/>
      <c r="GW80" s="8"/>
      <c r="GX80" s="8"/>
      <c r="GY80" s="8"/>
      <c r="GZ80" s="8"/>
      <c r="HA80" s="8"/>
      <c r="HB80" s="8"/>
      <c r="HC80" s="8"/>
      <c r="HD80" s="8"/>
      <c r="HE80" s="8"/>
      <c r="HF80" s="8"/>
      <c r="HG80" s="8"/>
      <c r="HH80" s="8"/>
      <c r="HI80" s="8"/>
      <c r="HJ80" s="8"/>
      <c r="HK80" s="8"/>
      <c r="HL80" s="8"/>
      <c r="HM80" s="8"/>
      <c r="HN80" s="8"/>
      <c r="HO80" s="8"/>
      <c r="HP80" s="8"/>
      <c r="HQ80" s="8"/>
      <c r="HR80" s="8"/>
      <c r="HS80" s="8"/>
      <c r="HT80" s="8"/>
      <c r="HU80" s="8"/>
      <c r="HV80" s="8"/>
      <c r="HW80" s="8"/>
      <c r="HX80" s="8"/>
      <c r="HY80" s="8"/>
      <c r="HZ80" s="8"/>
      <c r="IA80" s="8"/>
      <c r="IB80" s="8"/>
      <c r="IC80" s="8"/>
      <c r="ID80" s="8"/>
      <c r="IE80" s="8"/>
      <c r="IF80" s="8"/>
      <c r="IG80" s="8"/>
      <c r="IH80" s="8"/>
      <c r="II80" s="8"/>
      <c r="IJ80" s="8"/>
      <c r="IK80" s="8"/>
      <c r="IL80" s="8"/>
      <c r="IM80" s="8"/>
    </row>
    <row r="81" spans="1:247" x14ac:dyDescent="0.25">
      <c r="A81" s="4">
        <v>2192</v>
      </c>
      <c r="B81" s="9" t="s">
        <v>92</v>
      </c>
      <c r="C81" s="10" t="s">
        <v>11</v>
      </c>
      <c r="D81" s="1721" t="s">
        <v>3060</v>
      </c>
      <c r="E81" s="1728"/>
      <c r="F81" s="1723">
        <f t="shared" si="0"/>
        <v>1.0209999999999999</v>
      </c>
      <c r="G81" s="1729">
        <f t="shared" si="8"/>
        <v>1.0269999999999999</v>
      </c>
      <c r="H81" s="1728"/>
      <c r="I81" s="1730"/>
      <c r="J81" s="1730"/>
      <c r="K81" s="1730"/>
      <c r="L81" s="1730"/>
      <c r="M81" s="1730"/>
      <c r="N81" s="1729">
        <f t="shared" si="9"/>
        <v>1.0029999999999999</v>
      </c>
      <c r="O81" s="1731"/>
      <c r="P81" s="1728"/>
      <c r="Q81" s="1729"/>
      <c r="R81" s="1732">
        <f t="shared" si="1"/>
        <v>1.0517127009999996</v>
      </c>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c r="ED81" s="8"/>
      <c r="EE81" s="8"/>
      <c r="EF81" s="8"/>
      <c r="EG81" s="8"/>
      <c r="EH81" s="8"/>
      <c r="EI81" s="8"/>
      <c r="EJ81" s="8"/>
      <c r="EK81" s="8"/>
      <c r="EL81" s="8"/>
      <c r="EM81" s="8"/>
      <c r="EN81" s="8"/>
      <c r="EO81" s="8"/>
      <c r="EP81" s="8"/>
      <c r="EQ81" s="8"/>
      <c r="ER81" s="8"/>
      <c r="ES81" s="8"/>
      <c r="ET81" s="8"/>
      <c r="EU81" s="8"/>
      <c r="EV81" s="8"/>
      <c r="EW81" s="8"/>
      <c r="EX81" s="8"/>
      <c r="EY81" s="8"/>
      <c r="EZ81" s="8"/>
      <c r="FA81" s="8"/>
      <c r="FB81" s="8"/>
      <c r="FC81" s="8"/>
      <c r="FD81" s="8"/>
      <c r="FE81" s="8"/>
      <c r="FF81" s="8"/>
      <c r="FG81" s="8"/>
      <c r="FH81" s="8"/>
      <c r="FI81" s="8"/>
      <c r="FJ81" s="8"/>
      <c r="FK81" s="8"/>
      <c r="FL81" s="8"/>
      <c r="FM81" s="8"/>
      <c r="FN81" s="8"/>
      <c r="FO81" s="8"/>
      <c r="FP81" s="8"/>
      <c r="FQ81" s="8"/>
      <c r="FR81" s="8"/>
      <c r="FS81" s="8"/>
      <c r="FT81" s="8"/>
      <c r="FU81" s="8"/>
      <c r="FV81" s="8"/>
      <c r="FW81" s="8"/>
      <c r="FX81" s="8"/>
      <c r="FY81" s="8"/>
      <c r="FZ81" s="8"/>
      <c r="GA81" s="8"/>
      <c r="GB81" s="8"/>
      <c r="GC81" s="8"/>
      <c r="GD81" s="8"/>
      <c r="GE81" s="8"/>
      <c r="GF81" s="8"/>
      <c r="GG81" s="8"/>
      <c r="GH81" s="8"/>
      <c r="GI81" s="8"/>
      <c r="GJ81" s="8"/>
      <c r="GK81" s="8"/>
      <c r="GL81" s="8"/>
      <c r="GM81" s="8"/>
      <c r="GN81" s="8"/>
      <c r="GO81" s="8"/>
      <c r="GP81" s="8"/>
      <c r="GQ81" s="8"/>
      <c r="GR81" s="8"/>
      <c r="GS81" s="8"/>
      <c r="GT81" s="8"/>
      <c r="GU81" s="8"/>
      <c r="GV81" s="8"/>
      <c r="GW81" s="8"/>
      <c r="GX81" s="8"/>
      <c r="GY81" s="8"/>
      <c r="GZ81" s="8"/>
      <c r="HA81" s="8"/>
      <c r="HB81" s="8"/>
      <c r="HC81" s="8"/>
      <c r="HD81" s="8"/>
      <c r="HE81" s="8"/>
      <c r="HF81" s="8"/>
      <c r="HG81" s="8"/>
      <c r="HH81" s="8"/>
      <c r="HI81" s="8"/>
      <c r="HJ81" s="8"/>
      <c r="HK81" s="8"/>
      <c r="HL81" s="8"/>
      <c r="HM81" s="8"/>
      <c r="HN81" s="8"/>
      <c r="HO81" s="8"/>
      <c r="HP81" s="8"/>
      <c r="HQ81" s="8"/>
      <c r="HR81" s="8"/>
      <c r="HS81" s="8"/>
      <c r="HT81" s="8"/>
      <c r="HU81" s="8"/>
      <c r="HV81" s="8"/>
      <c r="HW81" s="8"/>
      <c r="HX81" s="8"/>
      <c r="HY81" s="8"/>
      <c r="HZ81" s="8"/>
      <c r="IA81" s="8"/>
      <c r="IB81" s="8"/>
      <c r="IC81" s="8"/>
      <c r="ID81" s="8"/>
      <c r="IE81" s="8"/>
      <c r="IF81" s="8"/>
      <c r="IG81" s="8"/>
      <c r="IH81" s="8"/>
      <c r="II81" s="8"/>
      <c r="IJ81" s="8"/>
      <c r="IK81" s="8"/>
      <c r="IL81" s="8"/>
      <c r="IM81" s="8"/>
    </row>
    <row r="82" spans="1:247" x14ac:dyDescent="0.25">
      <c r="A82" s="4">
        <v>2211</v>
      </c>
      <c r="B82" s="9" t="s">
        <v>93</v>
      </c>
      <c r="C82" s="10" t="s">
        <v>9</v>
      </c>
      <c r="D82" s="1721" t="s">
        <v>3062</v>
      </c>
      <c r="E82" s="1728"/>
      <c r="F82" s="1723">
        <f t="shared" si="0"/>
        <v>1.0209999999999999</v>
      </c>
      <c r="G82" s="1729">
        <f t="shared" si="8"/>
        <v>1.0269999999999999</v>
      </c>
      <c r="H82" s="1728">
        <f>+$H$3</f>
        <v>1.0029999999999999</v>
      </c>
      <c r="I82" s="1730">
        <f>+$I$3</f>
        <v>1.0289999999999999</v>
      </c>
      <c r="J82" s="1730">
        <f>+$J$3</f>
        <v>1.0049999999999999</v>
      </c>
      <c r="K82" s="1730"/>
      <c r="L82" s="1730"/>
      <c r="M82" s="1730">
        <f>+$M$3</f>
        <v>1.0029999999999999</v>
      </c>
      <c r="N82" s="1729">
        <f t="shared" si="9"/>
        <v>1.0029999999999999</v>
      </c>
      <c r="O82" s="1731">
        <f>+$O$3</f>
        <v>1.0209999999999999</v>
      </c>
      <c r="P82" s="1728">
        <f t="shared" ref="P82:P105" si="15">+$P$3</f>
        <v>1.032</v>
      </c>
      <c r="Q82" s="1729">
        <f t="shared" ref="Q82:Q105" si="16">+$Q$3</f>
        <v>1.0349999999999999</v>
      </c>
      <c r="R82" s="1732">
        <f t="shared" si="1"/>
        <v>1.1932356231980656</v>
      </c>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c r="ED82" s="8"/>
      <c r="EE82" s="8"/>
      <c r="EF82" s="8"/>
      <c r="EG82" s="8"/>
      <c r="EH82" s="8"/>
      <c r="EI82" s="8"/>
      <c r="EJ82" s="8"/>
      <c r="EK82" s="8"/>
      <c r="EL82" s="8"/>
      <c r="EM82" s="8"/>
      <c r="EN82" s="8"/>
      <c r="EO82" s="8"/>
      <c r="EP82" s="8"/>
      <c r="EQ82" s="8"/>
      <c r="ER82" s="8"/>
      <c r="ES82" s="8"/>
      <c r="ET82" s="8"/>
      <c r="EU82" s="8"/>
      <c r="EV82" s="8"/>
      <c r="EW82" s="8"/>
      <c r="EX82" s="8"/>
      <c r="EY82" s="8"/>
      <c r="EZ82" s="8"/>
      <c r="FA82" s="8"/>
      <c r="FB82" s="8"/>
      <c r="FC82" s="8"/>
      <c r="FD82" s="8"/>
      <c r="FE82" s="8"/>
      <c r="FF82" s="8"/>
      <c r="FG82" s="8"/>
      <c r="FH82" s="8"/>
      <c r="FI82" s="8"/>
      <c r="FJ82" s="8"/>
      <c r="FK82" s="8"/>
      <c r="FL82" s="8"/>
      <c r="FM82" s="8"/>
      <c r="FN82" s="8"/>
      <c r="FO82" s="8"/>
      <c r="FP82" s="8"/>
      <c r="FQ82" s="8"/>
      <c r="FR82" s="8"/>
      <c r="FS82" s="8"/>
      <c r="FT82" s="8"/>
      <c r="FU82" s="8"/>
      <c r="FV82" s="8"/>
      <c r="FW82" s="8"/>
      <c r="FX82" s="8"/>
      <c r="FY82" s="8"/>
      <c r="FZ82" s="8"/>
      <c r="GA82" s="8"/>
      <c r="GB82" s="8"/>
      <c r="GC82" s="8"/>
      <c r="GD82" s="8"/>
      <c r="GE82" s="8"/>
      <c r="GF82" s="8"/>
      <c r="GG82" s="8"/>
      <c r="GH82" s="8"/>
      <c r="GI82" s="8"/>
      <c r="GJ82" s="8"/>
      <c r="GK82" s="8"/>
      <c r="GL82" s="8"/>
      <c r="GM82" s="8"/>
      <c r="GN82" s="8"/>
      <c r="GO82" s="8"/>
      <c r="GP82" s="8"/>
      <c r="GQ82" s="8"/>
      <c r="GR82" s="8"/>
      <c r="GS82" s="8"/>
      <c r="GT82" s="8"/>
      <c r="GU82" s="8"/>
      <c r="GV82" s="8"/>
      <c r="GW82" s="8"/>
      <c r="GX82" s="8"/>
      <c r="GY82" s="8"/>
      <c r="GZ82" s="8"/>
      <c r="HA82" s="8"/>
      <c r="HB82" s="8"/>
      <c r="HC82" s="8"/>
      <c r="HD82" s="8"/>
      <c r="HE82" s="8"/>
      <c r="HF82" s="8"/>
      <c r="HG82" s="8"/>
      <c r="HH82" s="8"/>
      <c r="HI82" s="8"/>
      <c r="HJ82" s="8"/>
      <c r="HK82" s="8"/>
      <c r="HL82" s="8"/>
      <c r="HM82" s="8"/>
      <c r="HN82" s="8"/>
      <c r="HO82" s="8"/>
      <c r="HP82" s="8"/>
      <c r="HQ82" s="8"/>
      <c r="HR82" s="8"/>
      <c r="HS82" s="8"/>
      <c r="HT82" s="8"/>
      <c r="HU82" s="8"/>
      <c r="HV82" s="8"/>
      <c r="HW82" s="8"/>
      <c r="HX82" s="8"/>
      <c r="HY82" s="8"/>
      <c r="HZ82" s="8"/>
      <c r="IA82" s="8"/>
      <c r="IB82" s="8"/>
      <c r="IC82" s="8"/>
      <c r="ID82" s="8"/>
      <c r="IE82" s="8"/>
      <c r="IF82" s="8"/>
      <c r="IG82" s="8"/>
      <c r="IH82" s="8"/>
      <c r="II82" s="8"/>
      <c r="IJ82" s="8"/>
      <c r="IK82" s="8"/>
      <c r="IL82" s="8"/>
      <c r="IM82" s="8"/>
    </row>
    <row r="83" spans="1:247" x14ac:dyDescent="0.25">
      <c r="A83" s="4">
        <v>2221</v>
      </c>
      <c r="B83" s="9" t="s">
        <v>94</v>
      </c>
      <c r="C83" s="10" t="s">
        <v>9</v>
      </c>
      <c r="D83" s="1721" t="s">
        <v>3062</v>
      </c>
      <c r="E83" s="1728"/>
      <c r="F83" s="1723">
        <f t="shared" si="0"/>
        <v>1.0209999999999999</v>
      </c>
      <c r="G83" s="1729">
        <f t="shared" si="8"/>
        <v>1.0269999999999999</v>
      </c>
      <c r="H83" s="1728">
        <f>+$H$3</f>
        <v>1.0029999999999999</v>
      </c>
      <c r="I83" s="1730">
        <f>+$I$3</f>
        <v>1.0289999999999999</v>
      </c>
      <c r="J83" s="1730">
        <f>+$J$3</f>
        <v>1.0049999999999999</v>
      </c>
      <c r="K83" s="1730"/>
      <c r="L83" s="1730"/>
      <c r="M83" s="1730">
        <f>+$M$3</f>
        <v>1.0029999999999999</v>
      </c>
      <c r="N83" s="1729">
        <f t="shared" si="9"/>
        <v>1.0029999999999999</v>
      </c>
      <c r="O83" s="1731">
        <f>+$O$3</f>
        <v>1.0209999999999999</v>
      </c>
      <c r="P83" s="1728">
        <f t="shared" si="15"/>
        <v>1.032</v>
      </c>
      <c r="Q83" s="1729">
        <f t="shared" si="16"/>
        <v>1.0349999999999999</v>
      </c>
      <c r="R83" s="1732">
        <f t="shared" si="1"/>
        <v>1.1932356231980656</v>
      </c>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c r="ED83" s="8"/>
      <c r="EE83" s="8"/>
      <c r="EF83" s="8"/>
      <c r="EG83" s="8"/>
      <c r="EH83" s="8"/>
      <c r="EI83" s="8"/>
      <c r="EJ83" s="8"/>
      <c r="EK83" s="8"/>
      <c r="EL83" s="8"/>
      <c r="EM83" s="8"/>
      <c r="EN83" s="8"/>
      <c r="EO83" s="8"/>
      <c r="EP83" s="8"/>
      <c r="EQ83" s="8"/>
      <c r="ER83" s="8"/>
      <c r="ES83" s="8"/>
      <c r="ET83" s="8"/>
      <c r="EU83" s="8"/>
      <c r="EV83" s="8"/>
      <c r="EW83" s="8"/>
      <c r="EX83" s="8"/>
      <c r="EY83" s="8"/>
      <c r="EZ83" s="8"/>
      <c r="FA83" s="8"/>
      <c r="FB83" s="8"/>
      <c r="FC83" s="8"/>
      <c r="FD83" s="8"/>
      <c r="FE83" s="8"/>
      <c r="FF83" s="8"/>
      <c r="FG83" s="8"/>
      <c r="FH83" s="8"/>
      <c r="FI83" s="8"/>
      <c r="FJ83" s="8"/>
      <c r="FK83" s="8"/>
      <c r="FL83" s="8"/>
      <c r="FM83" s="8"/>
      <c r="FN83" s="8"/>
      <c r="FO83" s="8"/>
      <c r="FP83" s="8"/>
      <c r="FQ83" s="8"/>
      <c r="FR83" s="8"/>
      <c r="FS83" s="8"/>
      <c r="FT83" s="8"/>
      <c r="FU83" s="8"/>
      <c r="FV83" s="8"/>
      <c r="FW83" s="8"/>
      <c r="FX83" s="8"/>
      <c r="FY83" s="8"/>
      <c r="FZ83" s="8"/>
      <c r="GA83" s="8"/>
      <c r="GB83" s="8"/>
      <c r="GC83" s="8"/>
      <c r="GD83" s="8"/>
      <c r="GE83" s="8"/>
      <c r="GF83" s="8"/>
      <c r="GG83" s="8"/>
      <c r="GH83" s="8"/>
      <c r="GI83" s="8"/>
      <c r="GJ83" s="8"/>
      <c r="GK83" s="8"/>
      <c r="GL83" s="8"/>
      <c r="GM83" s="8"/>
      <c r="GN83" s="8"/>
      <c r="GO83" s="8"/>
      <c r="GP83" s="8"/>
      <c r="GQ83" s="8"/>
      <c r="GR83" s="8"/>
      <c r="GS83" s="8"/>
      <c r="GT83" s="8"/>
      <c r="GU83" s="8"/>
      <c r="GV83" s="8"/>
      <c r="GW83" s="8"/>
      <c r="GX83" s="8"/>
      <c r="GY83" s="8"/>
      <c r="GZ83" s="8"/>
      <c r="HA83" s="8"/>
      <c r="HB83" s="8"/>
      <c r="HC83" s="8"/>
      <c r="HD83" s="8"/>
      <c r="HE83" s="8"/>
      <c r="HF83" s="8"/>
      <c r="HG83" s="8"/>
      <c r="HH83" s="8"/>
      <c r="HI83" s="8"/>
      <c r="HJ83" s="8"/>
      <c r="HK83" s="8"/>
      <c r="HL83" s="8"/>
      <c r="HM83" s="8"/>
      <c r="HN83" s="8"/>
      <c r="HO83" s="8"/>
      <c r="HP83" s="8"/>
      <c r="HQ83" s="8"/>
      <c r="HR83" s="8"/>
      <c r="HS83" s="8"/>
      <c r="HT83" s="8"/>
      <c r="HU83" s="8"/>
      <c r="HV83" s="8"/>
      <c r="HW83" s="8"/>
      <c r="HX83" s="8"/>
      <c r="HY83" s="8"/>
      <c r="HZ83" s="8"/>
      <c r="IA83" s="8"/>
      <c r="IB83" s="8"/>
      <c r="IC83" s="8"/>
      <c r="ID83" s="8"/>
      <c r="IE83" s="8"/>
      <c r="IF83" s="8"/>
      <c r="IG83" s="8"/>
      <c r="IH83" s="8"/>
      <c r="II83" s="8"/>
      <c r="IJ83" s="8"/>
      <c r="IK83" s="8"/>
      <c r="IL83" s="8"/>
      <c r="IM83" s="8"/>
    </row>
    <row r="84" spans="1:247" x14ac:dyDescent="0.25">
      <c r="A84" s="4">
        <v>2231</v>
      </c>
      <c r="B84" s="9" t="s">
        <v>95</v>
      </c>
      <c r="C84" s="10" t="s">
        <v>9</v>
      </c>
      <c r="D84" s="1721" t="s">
        <v>3062</v>
      </c>
      <c r="E84" s="1728"/>
      <c r="F84" s="1723">
        <f t="shared" si="0"/>
        <v>1.0209999999999999</v>
      </c>
      <c r="G84" s="1729">
        <f t="shared" si="8"/>
        <v>1.0269999999999999</v>
      </c>
      <c r="H84" s="1728">
        <f>+$H$3</f>
        <v>1.0029999999999999</v>
      </c>
      <c r="I84" s="1730">
        <f>+$I$3</f>
        <v>1.0289999999999999</v>
      </c>
      <c r="J84" s="1730">
        <f>+$J$3</f>
        <v>1.0049999999999999</v>
      </c>
      <c r="K84" s="1730"/>
      <c r="L84" s="1730"/>
      <c r="M84" s="1730">
        <f>+$M$3</f>
        <v>1.0029999999999999</v>
      </c>
      <c r="N84" s="1729">
        <f t="shared" si="9"/>
        <v>1.0029999999999999</v>
      </c>
      <c r="O84" s="1731">
        <f>+$O$3</f>
        <v>1.0209999999999999</v>
      </c>
      <c r="P84" s="1728">
        <f t="shared" si="15"/>
        <v>1.032</v>
      </c>
      <c r="Q84" s="1729">
        <f t="shared" si="16"/>
        <v>1.0349999999999999</v>
      </c>
      <c r="R84" s="1732">
        <f t="shared" si="1"/>
        <v>1.1932356231980656</v>
      </c>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c r="ED84" s="8"/>
      <c r="EE84" s="8"/>
      <c r="EF84" s="8"/>
      <c r="EG84" s="8"/>
      <c r="EH84" s="8"/>
      <c r="EI84" s="8"/>
      <c r="EJ84" s="8"/>
      <c r="EK84" s="8"/>
      <c r="EL84" s="8"/>
      <c r="EM84" s="8"/>
      <c r="EN84" s="8"/>
      <c r="EO84" s="8"/>
      <c r="EP84" s="8"/>
      <c r="EQ84" s="8"/>
      <c r="ER84" s="8"/>
      <c r="ES84" s="8"/>
      <c r="ET84" s="8"/>
      <c r="EU84" s="8"/>
      <c r="EV84" s="8"/>
      <c r="EW84" s="8"/>
      <c r="EX84" s="8"/>
      <c r="EY84" s="8"/>
      <c r="EZ84" s="8"/>
      <c r="FA84" s="8"/>
      <c r="FB84" s="8"/>
      <c r="FC84" s="8"/>
      <c r="FD84" s="8"/>
      <c r="FE84" s="8"/>
      <c r="FF84" s="8"/>
      <c r="FG84" s="8"/>
      <c r="FH84" s="8"/>
      <c r="FI84" s="8"/>
      <c r="FJ84" s="8"/>
      <c r="FK84" s="8"/>
      <c r="FL84" s="8"/>
      <c r="FM84" s="8"/>
      <c r="FN84" s="8"/>
      <c r="FO84" s="8"/>
      <c r="FP84" s="8"/>
      <c r="FQ84" s="8"/>
      <c r="FR84" s="8"/>
      <c r="FS84" s="8"/>
      <c r="FT84" s="8"/>
      <c r="FU84" s="8"/>
      <c r="FV84" s="8"/>
      <c r="FW84" s="8"/>
      <c r="FX84" s="8"/>
      <c r="FY84" s="8"/>
      <c r="FZ84" s="8"/>
      <c r="GA84" s="8"/>
      <c r="GB84" s="8"/>
      <c r="GC84" s="8"/>
      <c r="GD84" s="8"/>
      <c r="GE84" s="8"/>
      <c r="GF84" s="8"/>
      <c r="GG84" s="8"/>
      <c r="GH84" s="8"/>
      <c r="GI84" s="8"/>
      <c r="GJ84" s="8"/>
      <c r="GK84" s="8"/>
      <c r="GL84" s="8"/>
      <c r="GM84" s="8"/>
      <c r="GN84" s="8"/>
      <c r="GO84" s="8"/>
      <c r="GP84" s="8"/>
      <c r="GQ84" s="8"/>
      <c r="GR84" s="8"/>
      <c r="GS84" s="8"/>
      <c r="GT84" s="8"/>
      <c r="GU84" s="8"/>
      <c r="GV84" s="8"/>
      <c r="GW84" s="8"/>
      <c r="GX84" s="8"/>
      <c r="GY84" s="8"/>
      <c r="GZ84" s="8"/>
      <c r="HA84" s="8"/>
      <c r="HB84" s="8"/>
      <c r="HC84" s="8"/>
      <c r="HD84" s="8"/>
      <c r="HE84" s="8"/>
      <c r="HF84" s="8"/>
      <c r="HG84" s="8"/>
      <c r="HH84" s="8"/>
      <c r="HI84" s="8"/>
      <c r="HJ84" s="8"/>
      <c r="HK84" s="8"/>
      <c r="HL84" s="8"/>
      <c r="HM84" s="8"/>
      <c r="HN84" s="8"/>
      <c r="HO84" s="8"/>
      <c r="HP84" s="8"/>
      <c r="HQ84" s="8"/>
      <c r="HR84" s="8"/>
      <c r="HS84" s="8"/>
      <c r="HT84" s="8"/>
      <c r="HU84" s="8"/>
      <c r="HV84" s="8"/>
      <c r="HW84" s="8"/>
      <c r="HX84" s="8"/>
      <c r="HY84" s="8"/>
      <c r="HZ84" s="8"/>
      <c r="IA84" s="8"/>
      <c r="IB84" s="8"/>
      <c r="IC84" s="8"/>
      <c r="ID84" s="8"/>
      <c r="IE84" s="8"/>
      <c r="IF84" s="8"/>
      <c r="IG84" s="8"/>
      <c r="IH84" s="8"/>
      <c r="II84" s="8"/>
      <c r="IJ84" s="8"/>
      <c r="IK84" s="8"/>
      <c r="IL84" s="8"/>
      <c r="IM84" s="8"/>
    </row>
    <row r="85" spans="1:247" x14ac:dyDescent="0.25">
      <c r="A85" s="4">
        <v>2241</v>
      </c>
      <c r="B85" s="9" t="s">
        <v>96</v>
      </c>
      <c r="C85" s="10" t="s">
        <v>9</v>
      </c>
      <c r="D85" s="1721" t="s">
        <v>3062</v>
      </c>
      <c r="E85" s="1728"/>
      <c r="F85" s="1723">
        <f t="shared" si="0"/>
        <v>1.0209999999999999</v>
      </c>
      <c r="G85" s="1729">
        <f t="shared" si="8"/>
        <v>1.0269999999999999</v>
      </c>
      <c r="H85" s="1728">
        <f>+$H$3</f>
        <v>1.0029999999999999</v>
      </c>
      <c r="I85" s="1730">
        <f>+$I$3</f>
        <v>1.0289999999999999</v>
      </c>
      <c r="J85" s="1730">
        <f>+$J$3</f>
        <v>1.0049999999999999</v>
      </c>
      <c r="K85" s="1730"/>
      <c r="L85" s="1730"/>
      <c r="M85" s="1730">
        <f>+$M$3</f>
        <v>1.0029999999999999</v>
      </c>
      <c r="N85" s="1729">
        <f t="shared" si="9"/>
        <v>1.0029999999999999</v>
      </c>
      <c r="O85" s="1731">
        <f>+$O$3</f>
        <v>1.0209999999999999</v>
      </c>
      <c r="P85" s="1728">
        <f t="shared" si="15"/>
        <v>1.032</v>
      </c>
      <c r="Q85" s="1729">
        <f t="shared" si="16"/>
        <v>1.0349999999999999</v>
      </c>
      <c r="R85" s="1732">
        <f t="shared" si="1"/>
        <v>1.1932356231980656</v>
      </c>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c r="ED85" s="8"/>
      <c r="EE85" s="8"/>
      <c r="EF85" s="8"/>
      <c r="EG85" s="8"/>
      <c r="EH85" s="8"/>
      <c r="EI85" s="8"/>
      <c r="EJ85" s="8"/>
      <c r="EK85" s="8"/>
      <c r="EL85" s="8"/>
      <c r="EM85" s="8"/>
      <c r="EN85" s="8"/>
      <c r="EO85" s="8"/>
      <c r="EP85" s="8"/>
      <c r="EQ85" s="8"/>
      <c r="ER85" s="8"/>
      <c r="ES85" s="8"/>
      <c r="ET85" s="8"/>
      <c r="EU85" s="8"/>
      <c r="EV85" s="8"/>
      <c r="EW85" s="8"/>
      <c r="EX85" s="8"/>
      <c r="EY85" s="8"/>
      <c r="EZ85" s="8"/>
      <c r="FA85" s="8"/>
      <c r="FB85" s="8"/>
      <c r="FC85" s="8"/>
      <c r="FD85" s="8"/>
      <c r="FE85" s="8"/>
      <c r="FF85" s="8"/>
      <c r="FG85" s="8"/>
      <c r="FH85" s="8"/>
      <c r="FI85" s="8"/>
      <c r="FJ85" s="8"/>
      <c r="FK85" s="8"/>
      <c r="FL85" s="8"/>
      <c r="FM85" s="8"/>
      <c r="FN85" s="8"/>
      <c r="FO85" s="8"/>
      <c r="FP85" s="8"/>
      <c r="FQ85" s="8"/>
      <c r="FR85" s="8"/>
      <c r="FS85" s="8"/>
      <c r="FT85" s="8"/>
      <c r="FU85" s="8"/>
      <c r="FV85" s="8"/>
      <c r="FW85" s="8"/>
      <c r="FX85" s="8"/>
      <c r="FY85" s="8"/>
      <c r="FZ85" s="8"/>
      <c r="GA85" s="8"/>
      <c r="GB85" s="8"/>
      <c r="GC85" s="8"/>
      <c r="GD85" s="8"/>
      <c r="GE85" s="8"/>
      <c r="GF85" s="8"/>
      <c r="GG85" s="8"/>
      <c r="GH85" s="8"/>
      <c r="GI85" s="8"/>
      <c r="GJ85" s="8"/>
      <c r="GK85" s="8"/>
      <c r="GL85" s="8"/>
      <c r="GM85" s="8"/>
      <c r="GN85" s="8"/>
      <c r="GO85" s="8"/>
      <c r="GP85" s="8"/>
      <c r="GQ85" s="8"/>
      <c r="GR85" s="8"/>
      <c r="GS85" s="8"/>
      <c r="GT85" s="8"/>
      <c r="GU85" s="8"/>
      <c r="GV85" s="8"/>
      <c r="GW85" s="8"/>
      <c r="GX85" s="8"/>
      <c r="GY85" s="8"/>
      <c r="GZ85" s="8"/>
      <c r="HA85" s="8"/>
      <c r="HB85" s="8"/>
      <c r="HC85" s="8"/>
      <c r="HD85" s="8"/>
      <c r="HE85" s="8"/>
      <c r="HF85" s="8"/>
      <c r="HG85" s="8"/>
      <c r="HH85" s="8"/>
      <c r="HI85" s="8"/>
      <c r="HJ85" s="8"/>
      <c r="HK85" s="8"/>
      <c r="HL85" s="8"/>
      <c r="HM85" s="8"/>
      <c r="HN85" s="8"/>
      <c r="HO85" s="8"/>
      <c r="HP85" s="8"/>
      <c r="HQ85" s="8"/>
      <c r="HR85" s="8"/>
      <c r="HS85" s="8"/>
      <c r="HT85" s="8"/>
      <c r="HU85" s="8"/>
      <c r="HV85" s="8"/>
      <c r="HW85" s="8"/>
      <c r="HX85" s="8"/>
      <c r="HY85" s="8"/>
      <c r="HZ85" s="8"/>
      <c r="IA85" s="8"/>
      <c r="IB85" s="8"/>
      <c r="IC85" s="8"/>
      <c r="ID85" s="8"/>
      <c r="IE85" s="8"/>
      <c r="IF85" s="8"/>
      <c r="IG85" s="8"/>
      <c r="IH85" s="8"/>
      <c r="II85" s="8"/>
      <c r="IJ85" s="8"/>
      <c r="IK85" s="8"/>
      <c r="IL85" s="8"/>
      <c r="IM85" s="8"/>
    </row>
    <row r="86" spans="1:247" x14ac:dyDescent="0.25">
      <c r="A86" s="4">
        <v>2242</v>
      </c>
      <c r="B86" s="9" t="s">
        <v>97</v>
      </c>
      <c r="C86" s="10" t="s">
        <v>9</v>
      </c>
      <c r="D86" s="1721" t="s">
        <v>3060</v>
      </c>
      <c r="E86" s="1728"/>
      <c r="F86" s="1723">
        <f t="shared" si="0"/>
        <v>1.0209999999999999</v>
      </c>
      <c r="G86" s="1729">
        <f t="shared" si="8"/>
        <v>1.0269999999999999</v>
      </c>
      <c r="H86" s="1728"/>
      <c r="I86" s="1730"/>
      <c r="J86" s="1730"/>
      <c r="K86" s="1730"/>
      <c r="L86" s="1730"/>
      <c r="M86" s="1730"/>
      <c r="N86" s="1729"/>
      <c r="O86" s="1731"/>
      <c r="P86" s="1728">
        <f t="shared" si="15"/>
        <v>1.032</v>
      </c>
      <c r="Q86" s="1729">
        <f t="shared" si="16"/>
        <v>1.0349999999999999</v>
      </c>
      <c r="R86" s="1732">
        <f t="shared" si="1"/>
        <v>1.1199953840399997</v>
      </c>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c r="ED86" s="8"/>
      <c r="EE86" s="8"/>
      <c r="EF86" s="8"/>
      <c r="EG86" s="8"/>
      <c r="EH86" s="8"/>
      <c r="EI86" s="8"/>
      <c r="EJ86" s="8"/>
      <c r="EK86" s="8"/>
      <c r="EL86" s="8"/>
      <c r="EM86" s="8"/>
      <c r="EN86" s="8"/>
      <c r="EO86" s="8"/>
      <c r="EP86" s="8"/>
      <c r="EQ86" s="8"/>
      <c r="ER86" s="8"/>
      <c r="ES86" s="8"/>
      <c r="ET86" s="8"/>
      <c r="EU86" s="8"/>
      <c r="EV86" s="8"/>
      <c r="EW86" s="8"/>
      <c r="EX86" s="8"/>
      <c r="EY86" s="8"/>
      <c r="EZ86" s="8"/>
      <c r="FA86" s="8"/>
      <c r="FB86" s="8"/>
      <c r="FC86" s="8"/>
      <c r="FD86" s="8"/>
      <c r="FE86" s="8"/>
      <c r="FF86" s="8"/>
      <c r="FG86" s="8"/>
      <c r="FH86" s="8"/>
      <c r="FI86" s="8"/>
      <c r="FJ86" s="8"/>
      <c r="FK86" s="8"/>
      <c r="FL86" s="8"/>
      <c r="FM86" s="8"/>
      <c r="FN86" s="8"/>
      <c r="FO86" s="8"/>
      <c r="FP86" s="8"/>
      <c r="FQ86" s="8"/>
      <c r="FR86" s="8"/>
      <c r="FS86" s="8"/>
      <c r="FT86" s="8"/>
      <c r="FU86" s="8"/>
      <c r="FV86" s="8"/>
      <c r="FW86" s="8"/>
      <c r="FX86" s="8"/>
      <c r="FY86" s="8"/>
      <c r="FZ86" s="8"/>
      <c r="GA86" s="8"/>
      <c r="GB86" s="8"/>
      <c r="GC86" s="8"/>
      <c r="GD86" s="8"/>
      <c r="GE86" s="8"/>
      <c r="GF86" s="8"/>
      <c r="GG86" s="8"/>
      <c r="GH86" s="8"/>
      <c r="GI86" s="8"/>
      <c r="GJ86" s="8"/>
      <c r="GK86" s="8"/>
      <c r="GL86" s="8"/>
      <c r="GM86" s="8"/>
      <c r="GN86" s="8"/>
      <c r="GO86" s="8"/>
      <c r="GP86" s="8"/>
      <c r="GQ86" s="8"/>
      <c r="GR86" s="8"/>
      <c r="GS86" s="8"/>
      <c r="GT86" s="8"/>
      <c r="GU86" s="8"/>
      <c r="GV86" s="8"/>
      <c r="GW86" s="8"/>
      <c r="GX86" s="8"/>
      <c r="GY86" s="8"/>
      <c r="GZ86" s="8"/>
      <c r="HA86" s="8"/>
      <c r="HB86" s="8"/>
      <c r="HC86" s="8"/>
      <c r="HD86" s="8"/>
      <c r="HE86" s="8"/>
      <c r="HF86" s="8"/>
      <c r="HG86" s="8"/>
      <c r="HH86" s="8"/>
      <c r="HI86" s="8"/>
      <c r="HJ86" s="8"/>
      <c r="HK86" s="8"/>
      <c r="HL86" s="8"/>
      <c r="HM86" s="8"/>
      <c r="HN86" s="8"/>
      <c r="HO86" s="8"/>
      <c r="HP86" s="8"/>
      <c r="HQ86" s="8"/>
      <c r="HR86" s="8"/>
      <c r="HS86" s="8"/>
      <c r="HT86" s="8"/>
      <c r="HU86" s="8"/>
      <c r="HV86" s="8"/>
      <c r="HW86" s="8"/>
      <c r="HX86" s="8"/>
      <c r="HY86" s="8"/>
      <c r="HZ86" s="8"/>
      <c r="IA86" s="8"/>
      <c r="IB86" s="8"/>
      <c r="IC86" s="8"/>
      <c r="ID86" s="8"/>
      <c r="IE86" s="8"/>
      <c r="IF86" s="8"/>
      <c r="IG86" s="8"/>
      <c r="IH86" s="8"/>
      <c r="II86" s="8"/>
      <c r="IJ86" s="8"/>
      <c r="IK86" s="8"/>
      <c r="IL86" s="8"/>
      <c r="IM86" s="8"/>
    </row>
    <row r="87" spans="1:247" x14ac:dyDescent="0.25">
      <c r="A87" s="4">
        <v>2251</v>
      </c>
      <c r="B87" s="9" t="s">
        <v>98</v>
      </c>
      <c r="C87" s="10" t="s">
        <v>9</v>
      </c>
      <c r="D87" s="1721" t="s">
        <v>3062</v>
      </c>
      <c r="E87" s="1728"/>
      <c r="F87" s="1723">
        <f t="shared" si="0"/>
        <v>1.0209999999999999</v>
      </c>
      <c r="G87" s="1729">
        <f t="shared" si="8"/>
        <v>1.0269999999999999</v>
      </c>
      <c r="H87" s="1728">
        <f>+$H$3</f>
        <v>1.0029999999999999</v>
      </c>
      <c r="I87" s="1730">
        <f>+$I$3</f>
        <v>1.0289999999999999</v>
      </c>
      <c r="J87" s="1730">
        <f>+$J$3</f>
        <v>1.0049999999999999</v>
      </c>
      <c r="K87" s="1730"/>
      <c r="L87" s="1730"/>
      <c r="M87" s="1730">
        <f>+$M$3</f>
        <v>1.0029999999999999</v>
      </c>
      <c r="N87" s="1729">
        <f>+$N$3</f>
        <v>1.0029999999999999</v>
      </c>
      <c r="O87" s="1731">
        <f>+$O$3</f>
        <v>1.0209999999999999</v>
      </c>
      <c r="P87" s="1728">
        <f t="shared" si="15"/>
        <v>1.032</v>
      </c>
      <c r="Q87" s="1729">
        <f t="shared" si="16"/>
        <v>1.0349999999999999</v>
      </c>
      <c r="R87" s="1732">
        <f t="shared" si="1"/>
        <v>1.1932356231980656</v>
      </c>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c r="ED87" s="8"/>
      <c r="EE87" s="8"/>
      <c r="EF87" s="8"/>
      <c r="EG87" s="8"/>
      <c r="EH87" s="8"/>
      <c r="EI87" s="8"/>
      <c r="EJ87" s="8"/>
      <c r="EK87" s="8"/>
      <c r="EL87" s="8"/>
      <c r="EM87" s="8"/>
      <c r="EN87" s="8"/>
      <c r="EO87" s="8"/>
      <c r="EP87" s="8"/>
      <c r="EQ87" s="8"/>
      <c r="ER87" s="8"/>
      <c r="ES87" s="8"/>
      <c r="ET87" s="8"/>
      <c r="EU87" s="8"/>
      <c r="EV87" s="8"/>
      <c r="EW87" s="8"/>
      <c r="EX87" s="8"/>
      <c r="EY87" s="8"/>
      <c r="EZ87" s="8"/>
      <c r="FA87" s="8"/>
      <c r="FB87" s="8"/>
      <c r="FC87" s="8"/>
      <c r="FD87" s="8"/>
      <c r="FE87" s="8"/>
      <c r="FF87" s="8"/>
      <c r="FG87" s="8"/>
      <c r="FH87" s="8"/>
      <c r="FI87" s="8"/>
      <c r="FJ87" s="8"/>
      <c r="FK87" s="8"/>
      <c r="FL87" s="8"/>
      <c r="FM87" s="8"/>
      <c r="FN87" s="8"/>
      <c r="FO87" s="8"/>
      <c r="FP87" s="8"/>
      <c r="FQ87" s="8"/>
      <c r="FR87" s="8"/>
      <c r="FS87" s="8"/>
      <c r="FT87" s="8"/>
      <c r="FU87" s="8"/>
      <c r="FV87" s="8"/>
      <c r="FW87" s="8"/>
      <c r="FX87" s="8"/>
      <c r="FY87" s="8"/>
      <c r="FZ87" s="8"/>
      <c r="GA87" s="8"/>
      <c r="GB87" s="8"/>
      <c r="GC87" s="8"/>
      <c r="GD87" s="8"/>
      <c r="GE87" s="8"/>
      <c r="GF87" s="8"/>
      <c r="GG87" s="8"/>
      <c r="GH87" s="8"/>
      <c r="GI87" s="8"/>
      <c r="GJ87" s="8"/>
      <c r="GK87" s="8"/>
      <c r="GL87" s="8"/>
      <c r="GM87" s="8"/>
      <c r="GN87" s="8"/>
      <c r="GO87" s="8"/>
      <c r="GP87" s="8"/>
      <c r="GQ87" s="8"/>
      <c r="GR87" s="8"/>
      <c r="GS87" s="8"/>
      <c r="GT87" s="8"/>
      <c r="GU87" s="8"/>
      <c r="GV87" s="8"/>
      <c r="GW87" s="8"/>
      <c r="GX87" s="8"/>
      <c r="GY87" s="8"/>
      <c r="GZ87" s="8"/>
      <c r="HA87" s="8"/>
      <c r="HB87" s="8"/>
      <c r="HC87" s="8"/>
      <c r="HD87" s="8"/>
      <c r="HE87" s="8"/>
      <c r="HF87" s="8"/>
      <c r="HG87" s="8"/>
      <c r="HH87" s="8"/>
      <c r="HI87" s="8"/>
      <c r="HJ87" s="8"/>
      <c r="HK87" s="8"/>
      <c r="HL87" s="8"/>
      <c r="HM87" s="8"/>
      <c r="HN87" s="8"/>
      <c r="HO87" s="8"/>
      <c r="HP87" s="8"/>
      <c r="HQ87" s="8"/>
      <c r="HR87" s="8"/>
      <c r="HS87" s="8"/>
      <c r="HT87" s="8"/>
      <c r="HU87" s="8"/>
      <c r="HV87" s="8"/>
      <c r="HW87" s="8"/>
      <c r="HX87" s="8"/>
      <c r="HY87" s="8"/>
      <c r="HZ87" s="8"/>
      <c r="IA87" s="8"/>
      <c r="IB87" s="8"/>
      <c r="IC87" s="8"/>
      <c r="ID87" s="8"/>
      <c r="IE87" s="8"/>
      <c r="IF87" s="8"/>
      <c r="IG87" s="8"/>
      <c r="IH87" s="8"/>
      <c r="II87" s="8"/>
      <c r="IJ87" s="8"/>
      <c r="IK87" s="8"/>
      <c r="IL87" s="8"/>
      <c r="IM87" s="8"/>
    </row>
    <row r="88" spans="1:247" x14ac:dyDescent="0.25">
      <c r="A88" s="4">
        <v>2252</v>
      </c>
      <c r="B88" s="9" t="s">
        <v>99</v>
      </c>
      <c r="C88" s="10" t="s">
        <v>9</v>
      </c>
      <c r="D88" s="1721" t="s">
        <v>3060</v>
      </c>
      <c r="E88" s="1728"/>
      <c r="F88" s="1723">
        <v>1.0209999999999999</v>
      </c>
      <c r="G88" s="1729">
        <v>1.0269999999999999</v>
      </c>
      <c r="H88" s="1728">
        <v>1.0029999999999999</v>
      </c>
      <c r="I88" s="1730">
        <v>1.0289999999999999</v>
      </c>
      <c r="J88" s="1730">
        <v>1.0049999999999999</v>
      </c>
      <c r="K88" s="1730"/>
      <c r="L88" s="1730"/>
      <c r="M88" s="1730">
        <v>1.0029999999999999</v>
      </c>
      <c r="N88" s="1729">
        <v>1.0029999999999999</v>
      </c>
      <c r="O88" s="1731">
        <v>1.0209999999999999</v>
      </c>
      <c r="P88" s="1728">
        <v>1.032</v>
      </c>
      <c r="Q88" s="1729">
        <v>1.0349999999999999</v>
      </c>
      <c r="R88" s="1732">
        <v>1.1932356231980656</v>
      </c>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c r="ED88" s="8"/>
      <c r="EE88" s="8"/>
      <c r="EF88" s="8"/>
      <c r="EG88" s="8"/>
      <c r="EH88" s="8"/>
      <c r="EI88" s="8"/>
      <c r="EJ88" s="8"/>
      <c r="EK88" s="8"/>
      <c r="EL88" s="8"/>
      <c r="EM88" s="8"/>
      <c r="EN88" s="8"/>
      <c r="EO88" s="8"/>
      <c r="EP88" s="8"/>
      <c r="EQ88" s="8"/>
      <c r="ER88" s="8"/>
      <c r="ES88" s="8"/>
      <c r="ET88" s="8"/>
      <c r="EU88" s="8"/>
      <c r="EV88" s="8"/>
      <c r="EW88" s="8"/>
      <c r="EX88" s="8"/>
      <c r="EY88" s="8"/>
      <c r="EZ88" s="8"/>
      <c r="FA88" s="8"/>
      <c r="FB88" s="8"/>
      <c r="FC88" s="8"/>
      <c r="FD88" s="8"/>
      <c r="FE88" s="8"/>
      <c r="FF88" s="8"/>
      <c r="FG88" s="8"/>
      <c r="FH88" s="8"/>
      <c r="FI88" s="8"/>
      <c r="FJ88" s="8"/>
      <c r="FK88" s="8"/>
      <c r="FL88" s="8"/>
      <c r="FM88" s="8"/>
      <c r="FN88" s="8"/>
      <c r="FO88" s="8"/>
      <c r="FP88" s="8"/>
      <c r="FQ88" s="8"/>
      <c r="FR88" s="8"/>
      <c r="FS88" s="8"/>
      <c r="FT88" s="8"/>
      <c r="FU88" s="8"/>
      <c r="FV88" s="8"/>
      <c r="FW88" s="8"/>
      <c r="FX88" s="8"/>
      <c r="FY88" s="8"/>
      <c r="FZ88" s="8"/>
      <c r="GA88" s="8"/>
      <c r="GB88" s="8"/>
      <c r="GC88" s="8"/>
      <c r="GD88" s="8"/>
      <c r="GE88" s="8"/>
      <c r="GF88" s="8"/>
      <c r="GG88" s="8"/>
      <c r="GH88" s="8"/>
      <c r="GI88" s="8"/>
      <c r="GJ88" s="8"/>
      <c r="GK88" s="8"/>
      <c r="GL88" s="8"/>
      <c r="GM88" s="8"/>
      <c r="GN88" s="8"/>
      <c r="GO88" s="8"/>
      <c r="GP88" s="8"/>
      <c r="GQ88" s="8"/>
      <c r="GR88" s="8"/>
      <c r="GS88" s="8"/>
      <c r="GT88" s="8"/>
      <c r="GU88" s="8"/>
      <c r="GV88" s="8"/>
      <c r="GW88" s="8"/>
      <c r="GX88" s="8"/>
      <c r="GY88" s="8"/>
      <c r="GZ88" s="8"/>
      <c r="HA88" s="8"/>
      <c r="HB88" s="8"/>
      <c r="HC88" s="8"/>
      <c r="HD88" s="8"/>
      <c r="HE88" s="8"/>
      <c r="HF88" s="8"/>
      <c r="HG88" s="8"/>
      <c r="HH88" s="8"/>
      <c r="HI88" s="8"/>
      <c r="HJ88" s="8"/>
      <c r="HK88" s="8"/>
      <c r="HL88" s="8"/>
      <c r="HM88" s="8"/>
      <c r="HN88" s="8"/>
      <c r="HO88" s="8"/>
      <c r="HP88" s="8"/>
      <c r="HQ88" s="8"/>
      <c r="HR88" s="8"/>
      <c r="HS88" s="8"/>
      <c r="HT88" s="8"/>
      <c r="HU88" s="8"/>
      <c r="HV88" s="8"/>
      <c r="HW88" s="8"/>
      <c r="HX88" s="8"/>
      <c r="HY88" s="8"/>
      <c r="HZ88" s="8"/>
      <c r="IA88" s="8"/>
      <c r="IB88" s="8"/>
      <c r="IC88" s="8"/>
      <c r="ID88" s="8"/>
      <c r="IE88" s="8"/>
      <c r="IF88" s="8"/>
      <c r="IG88" s="8"/>
      <c r="IH88" s="8"/>
      <c r="II88" s="8"/>
      <c r="IJ88" s="8"/>
      <c r="IK88" s="8"/>
      <c r="IL88" s="8"/>
      <c r="IM88" s="8"/>
    </row>
    <row r="89" spans="1:247" x14ac:dyDescent="0.25">
      <c r="A89" s="4">
        <v>2261</v>
      </c>
      <c r="B89" s="9" t="s">
        <v>100</v>
      </c>
      <c r="C89" s="10" t="s">
        <v>9</v>
      </c>
      <c r="D89" s="1721" t="s">
        <v>3062</v>
      </c>
      <c r="E89" s="1728"/>
      <c r="F89" s="1723">
        <f t="shared" si="0"/>
        <v>1.0209999999999999</v>
      </c>
      <c r="G89" s="1729">
        <f t="shared" si="8"/>
        <v>1.0269999999999999</v>
      </c>
      <c r="H89" s="1728">
        <f>+$H$3</f>
        <v>1.0029999999999999</v>
      </c>
      <c r="I89" s="1730">
        <f>+$I$3</f>
        <v>1.0289999999999999</v>
      </c>
      <c r="J89" s="1730">
        <f>+$J$3</f>
        <v>1.0049999999999999</v>
      </c>
      <c r="K89" s="1730"/>
      <c r="L89" s="1730"/>
      <c r="M89" s="1730">
        <f>+$M$3</f>
        <v>1.0029999999999999</v>
      </c>
      <c r="N89" s="1729">
        <f>+$N$3</f>
        <v>1.0029999999999999</v>
      </c>
      <c r="O89" s="1731">
        <f>+$O$3</f>
        <v>1.0209999999999999</v>
      </c>
      <c r="P89" s="1728">
        <f t="shared" si="15"/>
        <v>1.032</v>
      </c>
      <c r="Q89" s="1729">
        <f t="shared" si="16"/>
        <v>1.0349999999999999</v>
      </c>
      <c r="R89" s="1732">
        <f t="shared" si="1"/>
        <v>1.1932356231980656</v>
      </c>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c r="ED89" s="8"/>
      <c r="EE89" s="8"/>
      <c r="EF89" s="8"/>
      <c r="EG89" s="8"/>
      <c r="EH89" s="8"/>
      <c r="EI89" s="8"/>
      <c r="EJ89" s="8"/>
      <c r="EK89" s="8"/>
      <c r="EL89" s="8"/>
      <c r="EM89" s="8"/>
      <c r="EN89" s="8"/>
      <c r="EO89" s="8"/>
      <c r="EP89" s="8"/>
      <c r="EQ89" s="8"/>
      <c r="ER89" s="8"/>
      <c r="ES89" s="8"/>
      <c r="ET89" s="8"/>
      <c r="EU89" s="8"/>
      <c r="EV89" s="8"/>
      <c r="EW89" s="8"/>
      <c r="EX89" s="8"/>
      <c r="EY89" s="8"/>
      <c r="EZ89" s="8"/>
      <c r="FA89" s="8"/>
      <c r="FB89" s="8"/>
      <c r="FC89" s="8"/>
      <c r="FD89" s="8"/>
      <c r="FE89" s="8"/>
      <c r="FF89" s="8"/>
      <c r="FG89" s="8"/>
      <c r="FH89" s="8"/>
      <c r="FI89" s="8"/>
      <c r="FJ89" s="8"/>
      <c r="FK89" s="8"/>
      <c r="FL89" s="8"/>
      <c r="FM89" s="8"/>
      <c r="FN89" s="8"/>
      <c r="FO89" s="8"/>
      <c r="FP89" s="8"/>
      <c r="FQ89" s="8"/>
      <c r="FR89" s="8"/>
      <c r="FS89" s="8"/>
      <c r="FT89" s="8"/>
      <c r="FU89" s="8"/>
      <c r="FV89" s="8"/>
      <c r="FW89" s="8"/>
      <c r="FX89" s="8"/>
      <c r="FY89" s="8"/>
      <c r="FZ89" s="8"/>
      <c r="GA89" s="8"/>
      <c r="GB89" s="8"/>
      <c r="GC89" s="8"/>
      <c r="GD89" s="8"/>
      <c r="GE89" s="8"/>
      <c r="GF89" s="8"/>
      <c r="GG89" s="8"/>
      <c r="GH89" s="8"/>
      <c r="GI89" s="8"/>
      <c r="GJ89" s="8"/>
      <c r="GK89" s="8"/>
      <c r="GL89" s="8"/>
      <c r="GM89" s="8"/>
      <c r="GN89" s="8"/>
      <c r="GO89" s="8"/>
      <c r="GP89" s="8"/>
      <c r="GQ89" s="8"/>
      <c r="GR89" s="8"/>
      <c r="GS89" s="8"/>
      <c r="GT89" s="8"/>
      <c r="GU89" s="8"/>
      <c r="GV89" s="8"/>
      <c r="GW89" s="8"/>
      <c r="GX89" s="8"/>
      <c r="GY89" s="8"/>
      <c r="GZ89" s="8"/>
      <c r="HA89" s="8"/>
      <c r="HB89" s="8"/>
      <c r="HC89" s="8"/>
      <c r="HD89" s="8"/>
      <c r="HE89" s="8"/>
      <c r="HF89" s="8"/>
      <c r="HG89" s="8"/>
      <c r="HH89" s="8"/>
      <c r="HI89" s="8"/>
      <c r="HJ89" s="8"/>
      <c r="HK89" s="8"/>
      <c r="HL89" s="8"/>
      <c r="HM89" s="8"/>
      <c r="HN89" s="8"/>
      <c r="HO89" s="8"/>
      <c r="HP89" s="8"/>
      <c r="HQ89" s="8"/>
      <c r="HR89" s="8"/>
      <c r="HS89" s="8"/>
      <c r="HT89" s="8"/>
      <c r="HU89" s="8"/>
      <c r="HV89" s="8"/>
      <c r="HW89" s="8"/>
      <c r="HX89" s="8"/>
      <c r="HY89" s="8"/>
      <c r="HZ89" s="8"/>
      <c r="IA89" s="8"/>
      <c r="IB89" s="8"/>
      <c r="IC89" s="8"/>
      <c r="ID89" s="8"/>
      <c r="IE89" s="8"/>
      <c r="IF89" s="8"/>
      <c r="IG89" s="8"/>
      <c r="IH89" s="8"/>
      <c r="II89" s="8"/>
      <c r="IJ89" s="8"/>
      <c r="IK89" s="8"/>
      <c r="IL89" s="8"/>
      <c r="IM89" s="8"/>
    </row>
    <row r="90" spans="1:247" x14ac:dyDescent="0.25">
      <c r="A90" s="4">
        <v>2262</v>
      </c>
      <c r="B90" s="9" t="s">
        <v>101</v>
      </c>
      <c r="C90" s="10" t="s">
        <v>9</v>
      </c>
      <c r="D90" s="1721" t="s">
        <v>3060</v>
      </c>
      <c r="E90" s="1728"/>
      <c r="F90" s="1723">
        <f t="shared" si="0"/>
        <v>1.0209999999999999</v>
      </c>
      <c r="G90" s="1729"/>
      <c r="H90" s="1728"/>
      <c r="I90" s="1730"/>
      <c r="J90" s="1730"/>
      <c r="K90" s="1730"/>
      <c r="L90" s="1730"/>
      <c r="M90" s="1730"/>
      <c r="N90" s="1729"/>
      <c r="O90" s="1731"/>
      <c r="P90" s="1728">
        <f t="shared" si="15"/>
        <v>1.032</v>
      </c>
      <c r="Q90" s="1729">
        <f t="shared" si="16"/>
        <v>1.0349999999999999</v>
      </c>
      <c r="R90" s="1732">
        <f t="shared" si="1"/>
        <v>1.0905505199999999</v>
      </c>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c r="ED90" s="8"/>
      <c r="EE90" s="8"/>
      <c r="EF90" s="8"/>
      <c r="EG90" s="8"/>
      <c r="EH90" s="8"/>
      <c r="EI90" s="8"/>
      <c r="EJ90" s="8"/>
      <c r="EK90" s="8"/>
      <c r="EL90" s="8"/>
      <c r="EM90" s="8"/>
      <c r="EN90" s="8"/>
      <c r="EO90" s="8"/>
      <c r="EP90" s="8"/>
      <c r="EQ90" s="8"/>
      <c r="ER90" s="8"/>
      <c r="ES90" s="8"/>
      <c r="ET90" s="8"/>
      <c r="EU90" s="8"/>
      <c r="EV90" s="8"/>
      <c r="EW90" s="8"/>
      <c r="EX90" s="8"/>
      <c r="EY90" s="8"/>
      <c r="EZ90" s="8"/>
      <c r="FA90" s="8"/>
      <c r="FB90" s="8"/>
      <c r="FC90" s="8"/>
      <c r="FD90" s="8"/>
      <c r="FE90" s="8"/>
      <c r="FF90" s="8"/>
      <c r="FG90" s="8"/>
      <c r="FH90" s="8"/>
      <c r="FI90" s="8"/>
      <c r="FJ90" s="8"/>
      <c r="FK90" s="8"/>
      <c r="FL90" s="8"/>
      <c r="FM90" s="8"/>
      <c r="FN90" s="8"/>
      <c r="FO90" s="8"/>
      <c r="FP90" s="8"/>
      <c r="FQ90" s="8"/>
      <c r="FR90" s="8"/>
      <c r="FS90" s="8"/>
      <c r="FT90" s="8"/>
      <c r="FU90" s="8"/>
      <c r="FV90" s="8"/>
      <c r="FW90" s="8"/>
      <c r="FX90" s="8"/>
      <c r="FY90" s="8"/>
      <c r="FZ90" s="8"/>
      <c r="GA90" s="8"/>
      <c r="GB90" s="8"/>
      <c r="GC90" s="8"/>
      <c r="GD90" s="8"/>
      <c r="GE90" s="8"/>
      <c r="GF90" s="8"/>
      <c r="GG90" s="8"/>
      <c r="GH90" s="8"/>
      <c r="GI90" s="8"/>
      <c r="GJ90" s="8"/>
      <c r="GK90" s="8"/>
      <c r="GL90" s="8"/>
      <c r="GM90" s="8"/>
      <c r="GN90" s="8"/>
      <c r="GO90" s="8"/>
      <c r="GP90" s="8"/>
      <c r="GQ90" s="8"/>
      <c r="GR90" s="8"/>
      <c r="GS90" s="8"/>
      <c r="GT90" s="8"/>
      <c r="GU90" s="8"/>
      <c r="GV90" s="8"/>
      <c r="GW90" s="8"/>
      <c r="GX90" s="8"/>
      <c r="GY90" s="8"/>
      <c r="GZ90" s="8"/>
      <c r="HA90" s="8"/>
      <c r="HB90" s="8"/>
      <c r="HC90" s="8"/>
      <c r="HD90" s="8"/>
      <c r="HE90" s="8"/>
      <c r="HF90" s="8"/>
      <c r="HG90" s="8"/>
      <c r="HH90" s="8"/>
      <c r="HI90" s="8"/>
      <c r="HJ90" s="8"/>
      <c r="HK90" s="8"/>
      <c r="HL90" s="8"/>
      <c r="HM90" s="8"/>
      <c r="HN90" s="8"/>
      <c r="HO90" s="8"/>
      <c r="HP90" s="8"/>
      <c r="HQ90" s="8"/>
      <c r="HR90" s="8"/>
      <c r="HS90" s="8"/>
      <c r="HT90" s="8"/>
      <c r="HU90" s="8"/>
      <c r="HV90" s="8"/>
      <c r="HW90" s="8"/>
      <c r="HX90" s="8"/>
      <c r="HY90" s="8"/>
      <c r="HZ90" s="8"/>
      <c r="IA90" s="8"/>
      <c r="IB90" s="8"/>
      <c r="IC90" s="8"/>
      <c r="ID90" s="8"/>
      <c r="IE90" s="8"/>
      <c r="IF90" s="8"/>
      <c r="IG90" s="8"/>
      <c r="IH90" s="8"/>
      <c r="II90" s="8"/>
      <c r="IJ90" s="8"/>
      <c r="IK90" s="8"/>
      <c r="IL90" s="8"/>
      <c r="IM90" s="8"/>
    </row>
    <row r="91" spans="1:247" x14ac:dyDescent="0.25">
      <c r="A91" s="4">
        <v>2271</v>
      </c>
      <c r="B91" s="9" t="s">
        <v>102</v>
      </c>
      <c r="C91" s="10" t="s">
        <v>9</v>
      </c>
      <c r="D91" s="1721" t="s">
        <v>3062</v>
      </c>
      <c r="E91" s="1728"/>
      <c r="F91" s="1723">
        <f t="shared" si="0"/>
        <v>1.0209999999999999</v>
      </c>
      <c r="G91" s="1729">
        <f t="shared" ref="G91:G105" si="17">+$G$3</f>
        <v>1.0269999999999999</v>
      </c>
      <c r="H91" s="1728">
        <f>+$H$3</f>
        <v>1.0029999999999999</v>
      </c>
      <c r="I91" s="1730">
        <f>+$I$3</f>
        <v>1.0289999999999999</v>
      </c>
      <c r="J91" s="1730">
        <f>+$J$3</f>
        <v>1.0049999999999999</v>
      </c>
      <c r="K91" s="1730"/>
      <c r="L91" s="1730"/>
      <c r="M91" s="1730">
        <f>+$M$3</f>
        <v>1.0029999999999999</v>
      </c>
      <c r="N91" s="1729">
        <f t="shared" ref="N91:N105" si="18">+$N$3</f>
        <v>1.0029999999999999</v>
      </c>
      <c r="O91" s="1731">
        <f>+$O$3</f>
        <v>1.0209999999999999</v>
      </c>
      <c r="P91" s="1728">
        <f t="shared" si="15"/>
        <v>1.032</v>
      </c>
      <c r="Q91" s="1729">
        <f t="shared" si="16"/>
        <v>1.0349999999999999</v>
      </c>
      <c r="R91" s="1732">
        <f t="shared" si="1"/>
        <v>1.1932356231980656</v>
      </c>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c r="ED91" s="8"/>
      <c r="EE91" s="8"/>
      <c r="EF91" s="8"/>
      <c r="EG91" s="8"/>
      <c r="EH91" s="8"/>
      <c r="EI91" s="8"/>
      <c r="EJ91" s="8"/>
      <c r="EK91" s="8"/>
      <c r="EL91" s="8"/>
      <c r="EM91" s="8"/>
      <c r="EN91" s="8"/>
      <c r="EO91" s="8"/>
      <c r="EP91" s="8"/>
      <c r="EQ91" s="8"/>
      <c r="ER91" s="8"/>
      <c r="ES91" s="8"/>
      <c r="ET91" s="8"/>
      <c r="EU91" s="8"/>
      <c r="EV91" s="8"/>
      <c r="EW91" s="8"/>
      <c r="EX91" s="8"/>
      <c r="EY91" s="8"/>
      <c r="EZ91" s="8"/>
      <c r="FA91" s="8"/>
      <c r="FB91" s="8"/>
      <c r="FC91" s="8"/>
      <c r="FD91" s="8"/>
      <c r="FE91" s="8"/>
      <c r="FF91" s="8"/>
      <c r="FG91" s="8"/>
      <c r="FH91" s="8"/>
      <c r="FI91" s="8"/>
      <c r="FJ91" s="8"/>
      <c r="FK91" s="8"/>
      <c r="FL91" s="8"/>
      <c r="FM91" s="8"/>
      <c r="FN91" s="8"/>
      <c r="FO91" s="8"/>
      <c r="FP91" s="8"/>
      <c r="FQ91" s="8"/>
      <c r="FR91" s="8"/>
      <c r="FS91" s="8"/>
      <c r="FT91" s="8"/>
      <c r="FU91" s="8"/>
      <c r="FV91" s="8"/>
      <c r="FW91" s="8"/>
      <c r="FX91" s="8"/>
      <c r="FY91" s="8"/>
      <c r="FZ91" s="8"/>
      <c r="GA91" s="8"/>
      <c r="GB91" s="8"/>
      <c r="GC91" s="8"/>
      <c r="GD91" s="8"/>
      <c r="GE91" s="8"/>
      <c r="GF91" s="8"/>
      <c r="GG91" s="8"/>
      <c r="GH91" s="8"/>
      <c r="GI91" s="8"/>
      <c r="GJ91" s="8"/>
      <c r="GK91" s="8"/>
      <c r="GL91" s="8"/>
      <c r="GM91" s="8"/>
      <c r="GN91" s="8"/>
      <c r="GO91" s="8"/>
      <c r="GP91" s="8"/>
      <c r="GQ91" s="8"/>
      <c r="GR91" s="8"/>
      <c r="GS91" s="8"/>
      <c r="GT91" s="8"/>
      <c r="GU91" s="8"/>
      <c r="GV91" s="8"/>
      <c r="GW91" s="8"/>
      <c r="GX91" s="8"/>
      <c r="GY91" s="8"/>
      <c r="GZ91" s="8"/>
      <c r="HA91" s="8"/>
      <c r="HB91" s="8"/>
      <c r="HC91" s="8"/>
      <c r="HD91" s="8"/>
      <c r="HE91" s="8"/>
      <c r="HF91" s="8"/>
      <c r="HG91" s="8"/>
      <c r="HH91" s="8"/>
      <c r="HI91" s="8"/>
      <c r="HJ91" s="8"/>
      <c r="HK91" s="8"/>
      <c r="HL91" s="8"/>
      <c r="HM91" s="8"/>
      <c r="HN91" s="8"/>
      <c r="HO91" s="8"/>
      <c r="HP91" s="8"/>
      <c r="HQ91" s="8"/>
      <c r="HR91" s="8"/>
      <c r="HS91" s="8"/>
      <c r="HT91" s="8"/>
      <c r="HU91" s="8"/>
      <c r="HV91" s="8"/>
      <c r="HW91" s="8"/>
      <c r="HX91" s="8"/>
      <c r="HY91" s="8"/>
      <c r="HZ91" s="8"/>
      <c r="IA91" s="8"/>
      <c r="IB91" s="8"/>
      <c r="IC91" s="8"/>
      <c r="ID91" s="8"/>
      <c r="IE91" s="8"/>
      <c r="IF91" s="8"/>
      <c r="IG91" s="8"/>
      <c r="IH91" s="8"/>
      <c r="II91" s="8"/>
      <c r="IJ91" s="8"/>
      <c r="IK91" s="8"/>
      <c r="IL91" s="8"/>
      <c r="IM91" s="8"/>
    </row>
    <row r="92" spans="1:247" x14ac:dyDescent="0.25">
      <c r="A92" s="4">
        <v>2281</v>
      </c>
      <c r="B92" s="9" t="s">
        <v>103</v>
      </c>
      <c r="C92" s="10" t="s">
        <v>9</v>
      </c>
      <c r="D92" s="1721" t="s">
        <v>3062</v>
      </c>
      <c r="E92" s="1728"/>
      <c r="F92" s="1723">
        <f t="shared" si="0"/>
        <v>1.0209999999999999</v>
      </c>
      <c r="G92" s="1729">
        <f t="shared" si="17"/>
        <v>1.0269999999999999</v>
      </c>
      <c r="H92" s="1728">
        <f>+$H$3</f>
        <v>1.0029999999999999</v>
      </c>
      <c r="I92" s="1730">
        <f>+$I$3</f>
        <v>1.0289999999999999</v>
      </c>
      <c r="J92" s="1730">
        <f>+$J$3</f>
        <v>1.0049999999999999</v>
      </c>
      <c r="K92" s="1730"/>
      <c r="L92" s="1730"/>
      <c r="M92" s="1730">
        <f>+$M$3</f>
        <v>1.0029999999999999</v>
      </c>
      <c r="N92" s="1729">
        <f t="shared" si="18"/>
        <v>1.0029999999999999</v>
      </c>
      <c r="O92" s="1731">
        <f>+$O$3</f>
        <v>1.0209999999999999</v>
      </c>
      <c r="P92" s="1728">
        <f t="shared" si="15"/>
        <v>1.032</v>
      </c>
      <c r="Q92" s="1729">
        <f t="shared" si="16"/>
        <v>1.0349999999999999</v>
      </c>
      <c r="R92" s="1732">
        <f t="shared" si="1"/>
        <v>1.1932356231980656</v>
      </c>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c r="ED92" s="8"/>
      <c r="EE92" s="8"/>
      <c r="EF92" s="8"/>
      <c r="EG92" s="8"/>
      <c r="EH92" s="8"/>
      <c r="EI92" s="8"/>
      <c r="EJ92" s="8"/>
      <c r="EK92" s="8"/>
      <c r="EL92" s="8"/>
      <c r="EM92" s="8"/>
      <c r="EN92" s="8"/>
      <c r="EO92" s="8"/>
      <c r="EP92" s="8"/>
      <c r="EQ92" s="8"/>
      <c r="ER92" s="8"/>
      <c r="ES92" s="8"/>
      <c r="ET92" s="8"/>
      <c r="EU92" s="8"/>
      <c r="EV92" s="8"/>
      <c r="EW92" s="8"/>
      <c r="EX92" s="8"/>
      <c r="EY92" s="8"/>
      <c r="EZ92" s="8"/>
      <c r="FA92" s="8"/>
      <c r="FB92" s="8"/>
      <c r="FC92" s="8"/>
      <c r="FD92" s="8"/>
      <c r="FE92" s="8"/>
      <c r="FF92" s="8"/>
      <c r="FG92" s="8"/>
      <c r="FH92" s="8"/>
      <c r="FI92" s="8"/>
      <c r="FJ92" s="8"/>
      <c r="FK92" s="8"/>
      <c r="FL92" s="8"/>
      <c r="FM92" s="8"/>
      <c r="FN92" s="8"/>
      <c r="FO92" s="8"/>
      <c r="FP92" s="8"/>
      <c r="FQ92" s="8"/>
      <c r="FR92" s="8"/>
      <c r="FS92" s="8"/>
      <c r="FT92" s="8"/>
      <c r="FU92" s="8"/>
      <c r="FV92" s="8"/>
      <c r="FW92" s="8"/>
      <c r="FX92" s="8"/>
      <c r="FY92" s="8"/>
      <c r="FZ92" s="8"/>
      <c r="GA92" s="8"/>
      <c r="GB92" s="8"/>
      <c r="GC92" s="8"/>
      <c r="GD92" s="8"/>
      <c r="GE92" s="8"/>
      <c r="GF92" s="8"/>
      <c r="GG92" s="8"/>
      <c r="GH92" s="8"/>
      <c r="GI92" s="8"/>
      <c r="GJ92" s="8"/>
      <c r="GK92" s="8"/>
      <c r="GL92" s="8"/>
      <c r="GM92" s="8"/>
      <c r="GN92" s="8"/>
      <c r="GO92" s="8"/>
      <c r="GP92" s="8"/>
      <c r="GQ92" s="8"/>
      <c r="GR92" s="8"/>
      <c r="GS92" s="8"/>
      <c r="GT92" s="8"/>
      <c r="GU92" s="8"/>
      <c r="GV92" s="8"/>
      <c r="GW92" s="8"/>
      <c r="GX92" s="8"/>
      <c r="GY92" s="8"/>
      <c r="GZ92" s="8"/>
      <c r="HA92" s="8"/>
      <c r="HB92" s="8"/>
      <c r="HC92" s="8"/>
      <c r="HD92" s="8"/>
      <c r="HE92" s="8"/>
      <c r="HF92" s="8"/>
      <c r="HG92" s="8"/>
      <c r="HH92" s="8"/>
      <c r="HI92" s="8"/>
      <c r="HJ92" s="8"/>
      <c r="HK92" s="8"/>
      <c r="HL92" s="8"/>
      <c r="HM92" s="8"/>
      <c r="HN92" s="8"/>
      <c r="HO92" s="8"/>
      <c r="HP92" s="8"/>
      <c r="HQ92" s="8"/>
      <c r="HR92" s="8"/>
      <c r="HS92" s="8"/>
      <c r="HT92" s="8"/>
      <c r="HU92" s="8"/>
      <c r="HV92" s="8"/>
      <c r="HW92" s="8"/>
      <c r="HX92" s="8"/>
      <c r="HY92" s="8"/>
      <c r="HZ92" s="8"/>
      <c r="IA92" s="8"/>
      <c r="IB92" s="8"/>
      <c r="IC92" s="8"/>
      <c r="ID92" s="8"/>
      <c r="IE92" s="8"/>
      <c r="IF92" s="8"/>
      <c r="IG92" s="8"/>
      <c r="IH92" s="8"/>
      <c r="II92" s="8"/>
      <c r="IJ92" s="8"/>
      <c r="IK92" s="8"/>
      <c r="IL92" s="8"/>
      <c r="IM92" s="8"/>
    </row>
    <row r="93" spans="1:247" x14ac:dyDescent="0.25">
      <c r="A93" s="4">
        <v>2291</v>
      </c>
      <c r="B93" s="9" t="s">
        <v>104</v>
      </c>
      <c r="C93" s="10" t="s">
        <v>11</v>
      </c>
      <c r="D93" s="1721" t="s">
        <v>3060</v>
      </c>
      <c r="E93" s="1728"/>
      <c r="F93" s="1723">
        <f t="shared" si="0"/>
        <v>1.0209999999999999</v>
      </c>
      <c r="G93" s="1729">
        <f t="shared" si="17"/>
        <v>1.0269999999999999</v>
      </c>
      <c r="H93" s="1728"/>
      <c r="I93" s="1730"/>
      <c r="J93" s="1730"/>
      <c r="K93" s="1730"/>
      <c r="L93" s="1730"/>
      <c r="M93" s="1730"/>
      <c r="N93" s="1729">
        <f t="shared" si="18"/>
        <v>1.0029999999999999</v>
      </c>
      <c r="O93" s="1731"/>
      <c r="P93" s="1728">
        <f t="shared" si="15"/>
        <v>1.032</v>
      </c>
      <c r="Q93" s="1729">
        <f t="shared" si="16"/>
        <v>1.0349999999999999</v>
      </c>
      <c r="R93" s="1732">
        <f t="shared" si="1"/>
        <v>1.1233553701921195</v>
      </c>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c r="ED93" s="8"/>
      <c r="EE93" s="8"/>
      <c r="EF93" s="8"/>
      <c r="EG93" s="8"/>
      <c r="EH93" s="8"/>
      <c r="EI93" s="8"/>
      <c r="EJ93" s="8"/>
      <c r="EK93" s="8"/>
      <c r="EL93" s="8"/>
      <c r="EM93" s="8"/>
      <c r="EN93" s="8"/>
      <c r="EO93" s="8"/>
      <c r="EP93" s="8"/>
      <c r="EQ93" s="8"/>
      <c r="ER93" s="8"/>
      <c r="ES93" s="8"/>
      <c r="ET93" s="8"/>
      <c r="EU93" s="8"/>
      <c r="EV93" s="8"/>
      <c r="EW93" s="8"/>
      <c r="EX93" s="8"/>
      <c r="EY93" s="8"/>
      <c r="EZ93" s="8"/>
      <c r="FA93" s="8"/>
      <c r="FB93" s="8"/>
      <c r="FC93" s="8"/>
      <c r="FD93" s="8"/>
      <c r="FE93" s="8"/>
      <c r="FF93" s="8"/>
      <c r="FG93" s="8"/>
      <c r="FH93" s="8"/>
      <c r="FI93" s="8"/>
      <c r="FJ93" s="8"/>
      <c r="FK93" s="8"/>
      <c r="FL93" s="8"/>
      <c r="FM93" s="8"/>
      <c r="FN93" s="8"/>
      <c r="FO93" s="8"/>
      <c r="FP93" s="8"/>
      <c r="FQ93" s="8"/>
      <c r="FR93" s="8"/>
      <c r="FS93" s="8"/>
      <c r="FT93" s="8"/>
      <c r="FU93" s="8"/>
      <c r="FV93" s="8"/>
      <c r="FW93" s="8"/>
      <c r="FX93" s="8"/>
      <c r="FY93" s="8"/>
      <c r="FZ93" s="8"/>
      <c r="GA93" s="8"/>
      <c r="GB93" s="8"/>
      <c r="GC93" s="8"/>
      <c r="GD93" s="8"/>
      <c r="GE93" s="8"/>
      <c r="GF93" s="8"/>
      <c r="GG93" s="8"/>
      <c r="GH93" s="8"/>
      <c r="GI93" s="8"/>
      <c r="GJ93" s="8"/>
      <c r="GK93" s="8"/>
      <c r="GL93" s="8"/>
      <c r="GM93" s="8"/>
      <c r="GN93" s="8"/>
      <c r="GO93" s="8"/>
      <c r="GP93" s="8"/>
      <c r="GQ93" s="8"/>
      <c r="GR93" s="8"/>
      <c r="GS93" s="8"/>
      <c r="GT93" s="8"/>
      <c r="GU93" s="8"/>
      <c r="GV93" s="8"/>
      <c r="GW93" s="8"/>
      <c r="GX93" s="8"/>
      <c r="GY93" s="8"/>
      <c r="GZ93" s="8"/>
      <c r="HA93" s="8"/>
      <c r="HB93" s="8"/>
      <c r="HC93" s="8"/>
      <c r="HD93" s="8"/>
      <c r="HE93" s="8"/>
      <c r="HF93" s="8"/>
      <c r="HG93" s="8"/>
      <c r="HH93" s="8"/>
      <c r="HI93" s="8"/>
      <c r="HJ93" s="8"/>
      <c r="HK93" s="8"/>
      <c r="HL93" s="8"/>
      <c r="HM93" s="8"/>
      <c r="HN93" s="8"/>
      <c r="HO93" s="8"/>
      <c r="HP93" s="8"/>
      <c r="HQ93" s="8"/>
      <c r="HR93" s="8"/>
      <c r="HS93" s="8"/>
      <c r="HT93" s="8"/>
      <c r="HU93" s="8"/>
      <c r="HV93" s="8"/>
      <c r="HW93" s="8"/>
      <c r="HX93" s="8"/>
      <c r="HY93" s="8"/>
      <c r="HZ93" s="8"/>
      <c r="IA93" s="8"/>
      <c r="IB93" s="8"/>
      <c r="IC93" s="8"/>
      <c r="ID93" s="8"/>
      <c r="IE93" s="8"/>
      <c r="IF93" s="8"/>
      <c r="IG93" s="8"/>
      <c r="IH93" s="8"/>
      <c r="II93" s="8"/>
      <c r="IJ93" s="8"/>
      <c r="IK93" s="8"/>
      <c r="IL93" s="8"/>
      <c r="IM93" s="8"/>
    </row>
    <row r="94" spans="1:247" x14ac:dyDescent="0.25">
      <c r="A94" s="4">
        <v>3101</v>
      </c>
      <c r="B94" s="9" t="s">
        <v>105</v>
      </c>
      <c r="C94" s="10" t="s">
        <v>9</v>
      </c>
      <c r="D94" s="1721" t="s">
        <v>3062</v>
      </c>
      <c r="E94" s="1728">
        <f t="shared" ref="E94:E105" si="19">+$E$3</f>
        <v>1.0740000000000001</v>
      </c>
      <c r="F94" s="1723">
        <f t="shared" si="0"/>
        <v>1.0209999999999999</v>
      </c>
      <c r="G94" s="1729">
        <f t="shared" si="17"/>
        <v>1.0269999999999999</v>
      </c>
      <c r="H94" s="1728">
        <f t="shared" ref="H94:H105" si="20">+$H$3</f>
        <v>1.0029999999999999</v>
      </c>
      <c r="I94" s="1730">
        <f t="shared" ref="I94:I105" si="21">+$I$3</f>
        <v>1.0289999999999999</v>
      </c>
      <c r="J94" s="1730">
        <f t="shared" ref="J94:J105" si="22">+$J$3</f>
        <v>1.0049999999999999</v>
      </c>
      <c r="K94" s="1730">
        <f t="shared" ref="K94:K105" si="23">+$K$3</f>
        <v>1.026</v>
      </c>
      <c r="L94" s="1730">
        <f t="shared" ref="L94:L105" si="24">+$L$3</f>
        <v>1.0129999999999999</v>
      </c>
      <c r="M94" s="1730">
        <f t="shared" ref="M94:M105" si="25">+$M$3</f>
        <v>1.0029999999999999</v>
      </c>
      <c r="N94" s="1729">
        <f t="shared" si="18"/>
        <v>1.0029999999999999</v>
      </c>
      <c r="O94" s="1731">
        <f t="shared" ref="O94:O105" si="26">+$O$3</f>
        <v>1.0209999999999999</v>
      </c>
      <c r="P94" s="1728">
        <f t="shared" si="15"/>
        <v>1.032</v>
      </c>
      <c r="Q94" s="1729">
        <f t="shared" si="16"/>
        <v>1.0349999999999999</v>
      </c>
      <c r="R94" s="1732">
        <f t="shared" si="1"/>
        <v>1.3319480854780448</v>
      </c>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c r="ED94" s="8"/>
      <c r="EE94" s="8"/>
      <c r="EF94" s="8"/>
      <c r="EG94" s="8"/>
      <c r="EH94" s="8"/>
      <c r="EI94" s="8"/>
      <c r="EJ94" s="8"/>
      <c r="EK94" s="8"/>
      <c r="EL94" s="8"/>
      <c r="EM94" s="8"/>
      <c r="EN94" s="8"/>
      <c r="EO94" s="8"/>
      <c r="EP94" s="8"/>
      <c r="EQ94" s="8"/>
      <c r="ER94" s="8"/>
      <c r="ES94" s="8"/>
      <c r="ET94" s="8"/>
      <c r="EU94" s="8"/>
      <c r="EV94" s="8"/>
      <c r="EW94" s="8"/>
      <c r="EX94" s="8"/>
      <c r="EY94" s="8"/>
      <c r="EZ94" s="8"/>
      <c r="FA94" s="8"/>
      <c r="FB94" s="8"/>
      <c r="FC94" s="8"/>
      <c r="FD94" s="8"/>
      <c r="FE94" s="8"/>
      <c r="FF94" s="8"/>
      <c r="FG94" s="8"/>
      <c r="FH94" s="8"/>
      <c r="FI94" s="8"/>
      <c r="FJ94" s="8"/>
      <c r="FK94" s="8"/>
      <c r="FL94" s="8"/>
      <c r="FM94" s="8"/>
      <c r="FN94" s="8"/>
      <c r="FO94" s="8"/>
      <c r="FP94" s="8"/>
      <c r="FQ94" s="8"/>
      <c r="FR94" s="8"/>
      <c r="FS94" s="8"/>
      <c r="FT94" s="8"/>
      <c r="FU94" s="8"/>
      <c r="FV94" s="8"/>
      <c r="FW94" s="8"/>
      <c r="FX94" s="8"/>
      <c r="FY94" s="8"/>
      <c r="FZ94" s="8"/>
      <c r="GA94" s="8"/>
      <c r="GB94" s="8"/>
      <c r="GC94" s="8"/>
      <c r="GD94" s="8"/>
      <c r="GE94" s="8"/>
      <c r="GF94" s="8"/>
      <c r="GG94" s="8"/>
      <c r="GH94" s="8"/>
      <c r="GI94" s="8"/>
      <c r="GJ94" s="8"/>
      <c r="GK94" s="8"/>
      <c r="GL94" s="8"/>
      <c r="GM94" s="8"/>
      <c r="GN94" s="8"/>
      <c r="GO94" s="8"/>
      <c r="GP94" s="8"/>
      <c r="GQ94" s="8"/>
      <c r="GR94" s="8"/>
      <c r="GS94" s="8"/>
      <c r="GT94" s="8"/>
      <c r="GU94" s="8"/>
      <c r="GV94" s="8"/>
      <c r="GW94" s="8"/>
      <c r="GX94" s="8"/>
      <c r="GY94" s="8"/>
      <c r="GZ94" s="8"/>
      <c r="HA94" s="8"/>
      <c r="HB94" s="8"/>
      <c r="HC94" s="8"/>
      <c r="HD94" s="8"/>
      <c r="HE94" s="8"/>
      <c r="HF94" s="8"/>
      <c r="HG94" s="8"/>
      <c r="HH94" s="8"/>
      <c r="HI94" s="8"/>
      <c r="HJ94" s="8"/>
      <c r="HK94" s="8"/>
      <c r="HL94" s="8"/>
      <c r="HM94" s="8"/>
      <c r="HN94" s="8"/>
      <c r="HO94" s="8"/>
      <c r="HP94" s="8"/>
      <c r="HQ94" s="8"/>
      <c r="HR94" s="8"/>
      <c r="HS94" s="8"/>
      <c r="HT94" s="8"/>
      <c r="HU94" s="8"/>
      <c r="HV94" s="8"/>
      <c r="HW94" s="8"/>
      <c r="HX94" s="8"/>
      <c r="HY94" s="8"/>
      <c r="HZ94" s="8"/>
      <c r="IA94" s="8"/>
      <c r="IB94" s="8"/>
      <c r="IC94" s="8"/>
      <c r="ID94" s="8"/>
      <c r="IE94" s="8"/>
      <c r="IF94" s="8"/>
      <c r="IG94" s="8"/>
      <c r="IH94" s="8"/>
      <c r="II94" s="8"/>
      <c r="IJ94" s="8"/>
      <c r="IK94" s="8"/>
      <c r="IL94" s="8"/>
      <c r="IM94" s="8"/>
    </row>
    <row r="95" spans="1:247" x14ac:dyDescent="0.25">
      <c r="A95" s="4">
        <v>3102</v>
      </c>
      <c r="B95" s="9" t="s">
        <v>106</v>
      </c>
      <c r="C95" s="10" t="s">
        <v>9</v>
      </c>
      <c r="D95" s="1721" t="s">
        <v>3062</v>
      </c>
      <c r="E95" s="1728">
        <f t="shared" si="19"/>
        <v>1.0740000000000001</v>
      </c>
      <c r="F95" s="1723">
        <f t="shared" si="0"/>
        <v>1.0209999999999999</v>
      </c>
      <c r="G95" s="1729">
        <f t="shared" si="17"/>
        <v>1.0269999999999999</v>
      </c>
      <c r="H95" s="1728">
        <f t="shared" si="20"/>
        <v>1.0029999999999999</v>
      </c>
      <c r="I95" s="1730">
        <f t="shared" si="21"/>
        <v>1.0289999999999999</v>
      </c>
      <c r="J95" s="1730">
        <f t="shared" si="22"/>
        <v>1.0049999999999999</v>
      </c>
      <c r="K95" s="1730">
        <f t="shared" si="23"/>
        <v>1.026</v>
      </c>
      <c r="L95" s="1730">
        <f t="shared" si="24"/>
        <v>1.0129999999999999</v>
      </c>
      <c r="M95" s="1730">
        <f t="shared" si="25"/>
        <v>1.0029999999999999</v>
      </c>
      <c r="N95" s="1729">
        <f t="shared" si="18"/>
        <v>1.0029999999999999</v>
      </c>
      <c r="O95" s="1731">
        <f t="shared" si="26"/>
        <v>1.0209999999999999</v>
      </c>
      <c r="P95" s="1728">
        <f t="shared" si="15"/>
        <v>1.032</v>
      </c>
      <c r="Q95" s="1729">
        <f t="shared" si="16"/>
        <v>1.0349999999999999</v>
      </c>
      <c r="R95" s="1732">
        <f t="shared" si="1"/>
        <v>1.3319480854780448</v>
      </c>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c r="ED95" s="8"/>
      <c r="EE95" s="8"/>
      <c r="EF95" s="8"/>
      <c r="EG95" s="8"/>
      <c r="EH95" s="8"/>
      <c r="EI95" s="8"/>
      <c r="EJ95" s="8"/>
      <c r="EK95" s="8"/>
      <c r="EL95" s="8"/>
      <c r="EM95" s="8"/>
      <c r="EN95" s="8"/>
      <c r="EO95" s="8"/>
      <c r="EP95" s="8"/>
      <c r="EQ95" s="8"/>
      <c r="ER95" s="8"/>
      <c r="ES95" s="8"/>
      <c r="ET95" s="8"/>
      <c r="EU95" s="8"/>
      <c r="EV95" s="8"/>
      <c r="EW95" s="8"/>
      <c r="EX95" s="8"/>
      <c r="EY95" s="8"/>
      <c r="EZ95" s="8"/>
      <c r="FA95" s="8"/>
      <c r="FB95" s="8"/>
      <c r="FC95" s="8"/>
      <c r="FD95" s="8"/>
      <c r="FE95" s="8"/>
      <c r="FF95" s="8"/>
      <c r="FG95" s="8"/>
      <c r="FH95" s="8"/>
      <c r="FI95" s="8"/>
      <c r="FJ95" s="8"/>
      <c r="FK95" s="8"/>
      <c r="FL95" s="8"/>
      <c r="FM95" s="8"/>
      <c r="FN95" s="8"/>
      <c r="FO95" s="8"/>
      <c r="FP95" s="8"/>
      <c r="FQ95" s="8"/>
      <c r="FR95" s="8"/>
      <c r="FS95" s="8"/>
      <c r="FT95" s="8"/>
      <c r="FU95" s="8"/>
      <c r="FV95" s="8"/>
      <c r="FW95" s="8"/>
      <c r="FX95" s="8"/>
      <c r="FY95" s="8"/>
      <c r="FZ95" s="8"/>
      <c r="GA95" s="8"/>
      <c r="GB95" s="8"/>
      <c r="GC95" s="8"/>
      <c r="GD95" s="8"/>
      <c r="GE95" s="8"/>
      <c r="GF95" s="8"/>
      <c r="GG95" s="8"/>
      <c r="GH95" s="8"/>
      <c r="GI95" s="8"/>
      <c r="GJ95" s="8"/>
      <c r="GK95" s="8"/>
      <c r="GL95" s="8"/>
      <c r="GM95" s="8"/>
      <c r="GN95" s="8"/>
      <c r="GO95" s="8"/>
      <c r="GP95" s="8"/>
      <c r="GQ95" s="8"/>
      <c r="GR95" s="8"/>
      <c r="GS95" s="8"/>
      <c r="GT95" s="8"/>
      <c r="GU95" s="8"/>
      <c r="GV95" s="8"/>
      <c r="GW95" s="8"/>
      <c r="GX95" s="8"/>
      <c r="GY95" s="8"/>
      <c r="GZ95" s="8"/>
      <c r="HA95" s="8"/>
      <c r="HB95" s="8"/>
      <c r="HC95" s="8"/>
      <c r="HD95" s="8"/>
      <c r="HE95" s="8"/>
      <c r="HF95" s="8"/>
      <c r="HG95" s="8"/>
      <c r="HH95" s="8"/>
      <c r="HI95" s="8"/>
      <c r="HJ95" s="8"/>
      <c r="HK95" s="8"/>
      <c r="HL95" s="8"/>
      <c r="HM95" s="8"/>
      <c r="HN95" s="8"/>
      <c r="HO95" s="8"/>
      <c r="HP95" s="8"/>
      <c r="HQ95" s="8"/>
      <c r="HR95" s="8"/>
      <c r="HS95" s="8"/>
      <c r="HT95" s="8"/>
      <c r="HU95" s="8"/>
      <c r="HV95" s="8"/>
      <c r="HW95" s="8"/>
      <c r="HX95" s="8"/>
      <c r="HY95" s="8"/>
      <c r="HZ95" s="8"/>
      <c r="IA95" s="8"/>
      <c r="IB95" s="8"/>
      <c r="IC95" s="8"/>
      <c r="ID95" s="8"/>
      <c r="IE95" s="8"/>
      <c r="IF95" s="8"/>
      <c r="IG95" s="8"/>
      <c r="IH95" s="8"/>
      <c r="II95" s="8"/>
      <c r="IJ95" s="8"/>
      <c r="IK95" s="8"/>
      <c r="IL95" s="8"/>
      <c r="IM95" s="8"/>
    </row>
    <row r="96" spans="1:247" x14ac:dyDescent="0.25">
      <c r="A96" s="4">
        <v>3103</v>
      </c>
      <c r="B96" s="9" t="s">
        <v>107</v>
      </c>
      <c r="C96" s="10" t="s">
        <v>9</v>
      </c>
      <c r="D96" s="1721" t="s">
        <v>3062</v>
      </c>
      <c r="E96" s="1728">
        <f t="shared" si="19"/>
        <v>1.0740000000000001</v>
      </c>
      <c r="F96" s="1723">
        <f t="shared" si="0"/>
        <v>1.0209999999999999</v>
      </c>
      <c r="G96" s="1729">
        <f t="shared" si="17"/>
        <v>1.0269999999999999</v>
      </c>
      <c r="H96" s="1728">
        <f t="shared" si="20"/>
        <v>1.0029999999999999</v>
      </c>
      <c r="I96" s="1730">
        <f t="shared" si="21"/>
        <v>1.0289999999999999</v>
      </c>
      <c r="J96" s="1730">
        <f t="shared" si="22"/>
        <v>1.0049999999999999</v>
      </c>
      <c r="K96" s="1730">
        <f t="shared" si="23"/>
        <v>1.026</v>
      </c>
      <c r="L96" s="1730">
        <f t="shared" si="24"/>
        <v>1.0129999999999999</v>
      </c>
      <c r="M96" s="1730">
        <f t="shared" si="25"/>
        <v>1.0029999999999999</v>
      </c>
      <c r="N96" s="1729">
        <f t="shared" si="18"/>
        <v>1.0029999999999999</v>
      </c>
      <c r="O96" s="1731">
        <f t="shared" si="26"/>
        <v>1.0209999999999999</v>
      </c>
      <c r="P96" s="1728">
        <f t="shared" si="15"/>
        <v>1.032</v>
      </c>
      <c r="Q96" s="1729">
        <f t="shared" si="16"/>
        <v>1.0349999999999999</v>
      </c>
      <c r="R96" s="1732">
        <f t="shared" si="1"/>
        <v>1.3319480854780448</v>
      </c>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c r="ED96" s="8"/>
      <c r="EE96" s="8"/>
      <c r="EF96" s="8"/>
      <c r="EG96" s="8"/>
      <c r="EH96" s="8"/>
      <c r="EI96" s="8"/>
      <c r="EJ96" s="8"/>
      <c r="EK96" s="8"/>
      <c r="EL96" s="8"/>
      <c r="EM96" s="8"/>
      <c r="EN96" s="8"/>
      <c r="EO96" s="8"/>
      <c r="EP96" s="8"/>
      <c r="EQ96" s="8"/>
      <c r="ER96" s="8"/>
      <c r="ES96" s="8"/>
      <c r="ET96" s="8"/>
      <c r="EU96" s="8"/>
      <c r="EV96" s="8"/>
      <c r="EW96" s="8"/>
      <c r="EX96" s="8"/>
      <c r="EY96" s="8"/>
      <c r="EZ96" s="8"/>
      <c r="FA96" s="8"/>
      <c r="FB96" s="8"/>
      <c r="FC96" s="8"/>
      <c r="FD96" s="8"/>
      <c r="FE96" s="8"/>
      <c r="FF96" s="8"/>
      <c r="FG96" s="8"/>
      <c r="FH96" s="8"/>
      <c r="FI96" s="8"/>
      <c r="FJ96" s="8"/>
      <c r="FK96" s="8"/>
      <c r="FL96" s="8"/>
      <c r="FM96" s="8"/>
      <c r="FN96" s="8"/>
      <c r="FO96" s="8"/>
      <c r="FP96" s="8"/>
      <c r="FQ96" s="8"/>
      <c r="FR96" s="8"/>
      <c r="FS96" s="8"/>
      <c r="FT96" s="8"/>
      <c r="FU96" s="8"/>
      <c r="FV96" s="8"/>
      <c r="FW96" s="8"/>
      <c r="FX96" s="8"/>
      <c r="FY96" s="8"/>
      <c r="FZ96" s="8"/>
      <c r="GA96" s="8"/>
      <c r="GB96" s="8"/>
      <c r="GC96" s="8"/>
      <c r="GD96" s="8"/>
      <c r="GE96" s="8"/>
      <c r="GF96" s="8"/>
      <c r="GG96" s="8"/>
      <c r="GH96" s="8"/>
      <c r="GI96" s="8"/>
      <c r="GJ96" s="8"/>
      <c r="GK96" s="8"/>
      <c r="GL96" s="8"/>
      <c r="GM96" s="8"/>
      <c r="GN96" s="8"/>
      <c r="GO96" s="8"/>
      <c r="GP96" s="8"/>
      <c r="GQ96" s="8"/>
      <c r="GR96" s="8"/>
      <c r="GS96" s="8"/>
      <c r="GT96" s="8"/>
      <c r="GU96" s="8"/>
      <c r="GV96" s="8"/>
      <c r="GW96" s="8"/>
      <c r="GX96" s="8"/>
      <c r="GY96" s="8"/>
      <c r="GZ96" s="8"/>
      <c r="HA96" s="8"/>
      <c r="HB96" s="8"/>
      <c r="HC96" s="8"/>
      <c r="HD96" s="8"/>
      <c r="HE96" s="8"/>
      <c r="HF96" s="8"/>
      <c r="HG96" s="8"/>
      <c r="HH96" s="8"/>
      <c r="HI96" s="8"/>
      <c r="HJ96" s="8"/>
      <c r="HK96" s="8"/>
      <c r="HL96" s="8"/>
      <c r="HM96" s="8"/>
      <c r="HN96" s="8"/>
      <c r="HO96" s="8"/>
      <c r="HP96" s="8"/>
      <c r="HQ96" s="8"/>
      <c r="HR96" s="8"/>
      <c r="HS96" s="8"/>
      <c r="HT96" s="8"/>
      <c r="HU96" s="8"/>
      <c r="HV96" s="8"/>
      <c r="HW96" s="8"/>
      <c r="HX96" s="8"/>
      <c r="HY96" s="8"/>
      <c r="HZ96" s="8"/>
      <c r="IA96" s="8"/>
      <c r="IB96" s="8"/>
      <c r="IC96" s="8"/>
      <c r="ID96" s="8"/>
      <c r="IE96" s="8"/>
      <c r="IF96" s="8"/>
      <c r="IG96" s="8"/>
      <c r="IH96" s="8"/>
      <c r="II96" s="8"/>
      <c r="IJ96" s="8"/>
      <c r="IK96" s="8"/>
      <c r="IL96" s="8"/>
      <c r="IM96" s="8"/>
    </row>
    <row r="97" spans="1:247" x14ac:dyDescent="0.25">
      <c r="A97" s="4">
        <v>3104</v>
      </c>
      <c r="B97" s="9" t="s">
        <v>108</v>
      </c>
      <c r="C97" s="10" t="s">
        <v>9</v>
      </c>
      <c r="D97" s="1721" t="s">
        <v>3062</v>
      </c>
      <c r="E97" s="1728">
        <f t="shared" si="19"/>
        <v>1.0740000000000001</v>
      </c>
      <c r="F97" s="1723">
        <f t="shared" si="0"/>
        <v>1.0209999999999999</v>
      </c>
      <c r="G97" s="1729">
        <f t="shared" si="17"/>
        <v>1.0269999999999999</v>
      </c>
      <c r="H97" s="1728">
        <f t="shared" si="20"/>
        <v>1.0029999999999999</v>
      </c>
      <c r="I97" s="1730">
        <f t="shared" si="21"/>
        <v>1.0289999999999999</v>
      </c>
      <c r="J97" s="1730">
        <f t="shared" si="22"/>
        <v>1.0049999999999999</v>
      </c>
      <c r="K97" s="1730">
        <f t="shared" si="23"/>
        <v>1.026</v>
      </c>
      <c r="L97" s="1730">
        <f t="shared" si="24"/>
        <v>1.0129999999999999</v>
      </c>
      <c r="M97" s="1730">
        <f t="shared" si="25"/>
        <v>1.0029999999999999</v>
      </c>
      <c r="N97" s="1729">
        <f t="shared" si="18"/>
        <v>1.0029999999999999</v>
      </c>
      <c r="O97" s="1731">
        <f t="shared" si="26"/>
        <v>1.0209999999999999</v>
      </c>
      <c r="P97" s="1728">
        <f t="shared" si="15"/>
        <v>1.032</v>
      </c>
      <c r="Q97" s="1729">
        <f t="shared" si="16"/>
        <v>1.0349999999999999</v>
      </c>
      <c r="R97" s="1732">
        <f t="shared" si="1"/>
        <v>1.3319480854780448</v>
      </c>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c r="ED97" s="8"/>
      <c r="EE97" s="8"/>
      <c r="EF97" s="8"/>
      <c r="EG97" s="8"/>
      <c r="EH97" s="8"/>
      <c r="EI97" s="8"/>
      <c r="EJ97" s="8"/>
      <c r="EK97" s="8"/>
      <c r="EL97" s="8"/>
      <c r="EM97" s="8"/>
      <c r="EN97" s="8"/>
      <c r="EO97" s="8"/>
      <c r="EP97" s="8"/>
      <c r="EQ97" s="8"/>
      <c r="ER97" s="8"/>
      <c r="ES97" s="8"/>
      <c r="ET97" s="8"/>
      <c r="EU97" s="8"/>
      <c r="EV97" s="8"/>
      <c r="EW97" s="8"/>
      <c r="EX97" s="8"/>
      <c r="EY97" s="8"/>
      <c r="EZ97" s="8"/>
      <c r="FA97" s="8"/>
      <c r="FB97" s="8"/>
      <c r="FC97" s="8"/>
      <c r="FD97" s="8"/>
      <c r="FE97" s="8"/>
      <c r="FF97" s="8"/>
      <c r="FG97" s="8"/>
      <c r="FH97" s="8"/>
      <c r="FI97" s="8"/>
      <c r="FJ97" s="8"/>
      <c r="FK97" s="8"/>
      <c r="FL97" s="8"/>
      <c r="FM97" s="8"/>
      <c r="FN97" s="8"/>
      <c r="FO97" s="8"/>
      <c r="FP97" s="8"/>
      <c r="FQ97" s="8"/>
      <c r="FR97" s="8"/>
      <c r="FS97" s="8"/>
      <c r="FT97" s="8"/>
      <c r="FU97" s="8"/>
      <c r="FV97" s="8"/>
      <c r="FW97" s="8"/>
      <c r="FX97" s="8"/>
      <c r="FY97" s="8"/>
      <c r="FZ97" s="8"/>
      <c r="GA97" s="8"/>
      <c r="GB97" s="8"/>
      <c r="GC97" s="8"/>
      <c r="GD97" s="8"/>
      <c r="GE97" s="8"/>
      <c r="GF97" s="8"/>
      <c r="GG97" s="8"/>
      <c r="GH97" s="8"/>
      <c r="GI97" s="8"/>
      <c r="GJ97" s="8"/>
      <c r="GK97" s="8"/>
      <c r="GL97" s="8"/>
      <c r="GM97" s="8"/>
      <c r="GN97" s="8"/>
      <c r="GO97" s="8"/>
      <c r="GP97" s="8"/>
      <c r="GQ97" s="8"/>
      <c r="GR97" s="8"/>
      <c r="GS97" s="8"/>
      <c r="GT97" s="8"/>
      <c r="GU97" s="8"/>
      <c r="GV97" s="8"/>
      <c r="GW97" s="8"/>
      <c r="GX97" s="8"/>
      <c r="GY97" s="8"/>
      <c r="GZ97" s="8"/>
      <c r="HA97" s="8"/>
      <c r="HB97" s="8"/>
      <c r="HC97" s="8"/>
      <c r="HD97" s="8"/>
      <c r="HE97" s="8"/>
      <c r="HF97" s="8"/>
      <c r="HG97" s="8"/>
      <c r="HH97" s="8"/>
      <c r="HI97" s="8"/>
      <c r="HJ97" s="8"/>
      <c r="HK97" s="8"/>
      <c r="HL97" s="8"/>
      <c r="HM97" s="8"/>
      <c r="HN97" s="8"/>
      <c r="HO97" s="8"/>
      <c r="HP97" s="8"/>
      <c r="HQ97" s="8"/>
      <c r="HR97" s="8"/>
      <c r="HS97" s="8"/>
      <c r="HT97" s="8"/>
      <c r="HU97" s="8"/>
      <c r="HV97" s="8"/>
      <c r="HW97" s="8"/>
      <c r="HX97" s="8"/>
      <c r="HY97" s="8"/>
      <c r="HZ97" s="8"/>
      <c r="IA97" s="8"/>
      <c r="IB97" s="8"/>
      <c r="IC97" s="8"/>
      <c r="ID97" s="8"/>
      <c r="IE97" s="8"/>
      <c r="IF97" s="8"/>
      <c r="IG97" s="8"/>
      <c r="IH97" s="8"/>
      <c r="II97" s="8"/>
      <c r="IJ97" s="8"/>
      <c r="IK97" s="8"/>
      <c r="IL97" s="8"/>
      <c r="IM97" s="8"/>
    </row>
    <row r="98" spans="1:247" x14ac:dyDescent="0.25">
      <c r="A98" s="4">
        <v>3131</v>
      </c>
      <c r="B98" s="9" t="s">
        <v>109</v>
      </c>
      <c r="C98" s="10" t="s">
        <v>9</v>
      </c>
      <c r="D98" s="1721" t="s">
        <v>3062</v>
      </c>
      <c r="E98" s="1728">
        <f t="shared" si="19"/>
        <v>1.0740000000000001</v>
      </c>
      <c r="F98" s="1723">
        <f t="shared" si="0"/>
        <v>1.0209999999999999</v>
      </c>
      <c r="G98" s="1729">
        <f t="shared" si="17"/>
        <v>1.0269999999999999</v>
      </c>
      <c r="H98" s="1728">
        <f t="shared" si="20"/>
        <v>1.0029999999999999</v>
      </c>
      <c r="I98" s="1730">
        <f t="shared" si="21"/>
        <v>1.0289999999999999</v>
      </c>
      <c r="J98" s="1730">
        <f t="shared" si="22"/>
        <v>1.0049999999999999</v>
      </c>
      <c r="K98" s="1730">
        <f t="shared" si="23"/>
        <v>1.026</v>
      </c>
      <c r="L98" s="1730">
        <f t="shared" si="24"/>
        <v>1.0129999999999999</v>
      </c>
      <c r="M98" s="1730">
        <f t="shared" si="25"/>
        <v>1.0029999999999999</v>
      </c>
      <c r="N98" s="1729">
        <f t="shared" si="18"/>
        <v>1.0029999999999999</v>
      </c>
      <c r="O98" s="1731">
        <f t="shared" si="26"/>
        <v>1.0209999999999999</v>
      </c>
      <c r="P98" s="1728">
        <f t="shared" si="15"/>
        <v>1.032</v>
      </c>
      <c r="Q98" s="1729">
        <f t="shared" si="16"/>
        <v>1.0349999999999999</v>
      </c>
      <c r="R98" s="1732">
        <f t="shared" si="1"/>
        <v>1.3319480854780448</v>
      </c>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c r="ED98" s="8"/>
      <c r="EE98" s="8"/>
      <c r="EF98" s="8"/>
      <c r="EG98" s="8"/>
      <c r="EH98" s="8"/>
      <c r="EI98" s="8"/>
      <c r="EJ98" s="8"/>
      <c r="EK98" s="8"/>
      <c r="EL98" s="8"/>
      <c r="EM98" s="8"/>
      <c r="EN98" s="8"/>
      <c r="EO98" s="8"/>
      <c r="EP98" s="8"/>
      <c r="EQ98" s="8"/>
      <c r="ER98" s="8"/>
      <c r="ES98" s="8"/>
      <c r="ET98" s="8"/>
      <c r="EU98" s="8"/>
      <c r="EV98" s="8"/>
      <c r="EW98" s="8"/>
      <c r="EX98" s="8"/>
      <c r="EY98" s="8"/>
      <c r="EZ98" s="8"/>
      <c r="FA98" s="8"/>
      <c r="FB98" s="8"/>
      <c r="FC98" s="8"/>
      <c r="FD98" s="8"/>
      <c r="FE98" s="8"/>
      <c r="FF98" s="8"/>
      <c r="FG98" s="8"/>
      <c r="FH98" s="8"/>
      <c r="FI98" s="8"/>
      <c r="FJ98" s="8"/>
      <c r="FK98" s="8"/>
      <c r="FL98" s="8"/>
      <c r="FM98" s="8"/>
      <c r="FN98" s="8"/>
      <c r="FO98" s="8"/>
      <c r="FP98" s="8"/>
      <c r="FQ98" s="8"/>
      <c r="FR98" s="8"/>
      <c r="FS98" s="8"/>
      <c r="FT98" s="8"/>
      <c r="FU98" s="8"/>
      <c r="FV98" s="8"/>
      <c r="FW98" s="8"/>
      <c r="FX98" s="8"/>
      <c r="FY98" s="8"/>
      <c r="FZ98" s="8"/>
      <c r="GA98" s="8"/>
      <c r="GB98" s="8"/>
      <c r="GC98" s="8"/>
      <c r="GD98" s="8"/>
      <c r="GE98" s="8"/>
      <c r="GF98" s="8"/>
      <c r="GG98" s="8"/>
      <c r="GH98" s="8"/>
      <c r="GI98" s="8"/>
      <c r="GJ98" s="8"/>
      <c r="GK98" s="8"/>
      <c r="GL98" s="8"/>
      <c r="GM98" s="8"/>
      <c r="GN98" s="8"/>
      <c r="GO98" s="8"/>
      <c r="GP98" s="8"/>
      <c r="GQ98" s="8"/>
      <c r="GR98" s="8"/>
      <c r="GS98" s="8"/>
      <c r="GT98" s="8"/>
      <c r="GU98" s="8"/>
      <c r="GV98" s="8"/>
      <c r="GW98" s="8"/>
      <c r="GX98" s="8"/>
      <c r="GY98" s="8"/>
      <c r="GZ98" s="8"/>
      <c r="HA98" s="8"/>
      <c r="HB98" s="8"/>
      <c r="HC98" s="8"/>
      <c r="HD98" s="8"/>
      <c r="HE98" s="8"/>
      <c r="HF98" s="8"/>
      <c r="HG98" s="8"/>
      <c r="HH98" s="8"/>
      <c r="HI98" s="8"/>
      <c r="HJ98" s="8"/>
      <c r="HK98" s="8"/>
      <c r="HL98" s="8"/>
      <c r="HM98" s="8"/>
      <c r="HN98" s="8"/>
      <c r="HO98" s="8"/>
      <c r="HP98" s="8"/>
      <c r="HQ98" s="8"/>
      <c r="HR98" s="8"/>
      <c r="HS98" s="8"/>
      <c r="HT98" s="8"/>
      <c r="HU98" s="8"/>
      <c r="HV98" s="8"/>
      <c r="HW98" s="8"/>
      <c r="HX98" s="8"/>
      <c r="HY98" s="8"/>
      <c r="HZ98" s="8"/>
      <c r="IA98" s="8"/>
      <c r="IB98" s="8"/>
      <c r="IC98" s="8"/>
      <c r="ID98" s="8"/>
      <c r="IE98" s="8"/>
      <c r="IF98" s="8"/>
      <c r="IG98" s="8"/>
      <c r="IH98" s="8"/>
      <c r="II98" s="8"/>
      <c r="IJ98" s="8"/>
      <c r="IK98" s="8"/>
      <c r="IL98" s="8"/>
      <c r="IM98" s="8"/>
    </row>
    <row r="99" spans="1:247" x14ac:dyDescent="0.25">
      <c r="A99" s="4">
        <v>3141</v>
      </c>
      <c r="B99" s="9" t="s">
        <v>110</v>
      </c>
      <c r="C99" s="10" t="s">
        <v>9</v>
      </c>
      <c r="D99" s="1721" t="s">
        <v>3062</v>
      </c>
      <c r="E99" s="1728">
        <f t="shared" si="19"/>
        <v>1.0740000000000001</v>
      </c>
      <c r="F99" s="1723">
        <f t="shared" si="0"/>
        <v>1.0209999999999999</v>
      </c>
      <c r="G99" s="1729">
        <f t="shared" si="17"/>
        <v>1.0269999999999999</v>
      </c>
      <c r="H99" s="1728">
        <f t="shared" si="20"/>
        <v>1.0029999999999999</v>
      </c>
      <c r="I99" s="1730">
        <f t="shared" si="21"/>
        <v>1.0289999999999999</v>
      </c>
      <c r="J99" s="1730">
        <f t="shared" si="22"/>
        <v>1.0049999999999999</v>
      </c>
      <c r="K99" s="1730">
        <f t="shared" si="23"/>
        <v>1.026</v>
      </c>
      <c r="L99" s="1730">
        <f t="shared" si="24"/>
        <v>1.0129999999999999</v>
      </c>
      <c r="M99" s="1730">
        <f t="shared" si="25"/>
        <v>1.0029999999999999</v>
      </c>
      <c r="N99" s="1729">
        <f t="shared" si="18"/>
        <v>1.0029999999999999</v>
      </c>
      <c r="O99" s="1731">
        <f t="shared" si="26"/>
        <v>1.0209999999999999</v>
      </c>
      <c r="P99" s="1728">
        <f t="shared" si="15"/>
        <v>1.032</v>
      </c>
      <c r="Q99" s="1729">
        <f t="shared" si="16"/>
        <v>1.0349999999999999</v>
      </c>
      <c r="R99" s="1732">
        <f>PRODUCT(E99:Q99)</f>
        <v>1.3319480854780448</v>
      </c>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c r="ED99" s="8"/>
      <c r="EE99" s="8"/>
      <c r="EF99" s="8"/>
      <c r="EG99" s="8"/>
      <c r="EH99" s="8"/>
      <c r="EI99" s="8"/>
      <c r="EJ99" s="8"/>
      <c r="EK99" s="8"/>
      <c r="EL99" s="8"/>
      <c r="EM99" s="8"/>
      <c r="EN99" s="8"/>
      <c r="EO99" s="8"/>
      <c r="EP99" s="8"/>
      <c r="EQ99" s="8"/>
      <c r="ER99" s="8"/>
      <c r="ES99" s="8"/>
      <c r="ET99" s="8"/>
      <c r="EU99" s="8"/>
      <c r="EV99" s="8"/>
      <c r="EW99" s="8"/>
      <c r="EX99" s="8"/>
      <c r="EY99" s="8"/>
      <c r="EZ99" s="8"/>
      <c r="FA99" s="8"/>
      <c r="FB99" s="8"/>
      <c r="FC99" s="8"/>
      <c r="FD99" s="8"/>
      <c r="FE99" s="8"/>
      <c r="FF99" s="8"/>
      <c r="FG99" s="8"/>
      <c r="FH99" s="8"/>
      <c r="FI99" s="8"/>
      <c r="FJ99" s="8"/>
      <c r="FK99" s="8"/>
      <c r="FL99" s="8"/>
      <c r="FM99" s="8"/>
      <c r="FN99" s="8"/>
      <c r="FO99" s="8"/>
      <c r="FP99" s="8"/>
      <c r="FQ99" s="8"/>
      <c r="FR99" s="8"/>
      <c r="FS99" s="8"/>
      <c r="FT99" s="8"/>
      <c r="FU99" s="8"/>
      <c r="FV99" s="8"/>
      <c r="FW99" s="8"/>
      <c r="FX99" s="8"/>
      <c r="FY99" s="8"/>
      <c r="FZ99" s="8"/>
      <c r="GA99" s="8"/>
      <c r="GB99" s="8"/>
      <c r="GC99" s="8"/>
      <c r="GD99" s="8"/>
      <c r="GE99" s="8"/>
      <c r="GF99" s="8"/>
      <c r="GG99" s="8"/>
      <c r="GH99" s="8"/>
      <c r="GI99" s="8"/>
      <c r="GJ99" s="8"/>
      <c r="GK99" s="8"/>
      <c r="GL99" s="8"/>
      <c r="GM99" s="8"/>
      <c r="GN99" s="8"/>
      <c r="GO99" s="8"/>
      <c r="GP99" s="8"/>
      <c r="GQ99" s="8"/>
      <c r="GR99" s="8"/>
      <c r="GS99" s="8"/>
      <c r="GT99" s="8"/>
      <c r="GU99" s="8"/>
      <c r="GV99" s="8"/>
      <c r="GW99" s="8"/>
      <c r="GX99" s="8"/>
      <c r="GY99" s="8"/>
      <c r="GZ99" s="8"/>
      <c r="HA99" s="8"/>
      <c r="HB99" s="8"/>
      <c r="HC99" s="8"/>
      <c r="HD99" s="8"/>
      <c r="HE99" s="8"/>
      <c r="HF99" s="8"/>
      <c r="HG99" s="8"/>
      <c r="HH99" s="8"/>
      <c r="HI99" s="8"/>
      <c r="HJ99" s="8"/>
      <c r="HK99" s="8"/>
      <c r="HL99" s="8"/>
      <c r="HM99" s="8"/>
      <c r="HN99" s="8"/>
      <c r="HO99" s="8"/>
      <c r="HP99" s="8"/>
      <c r="HQ99" s="8"/>
      <c r="HR99" s="8"/>
      <c r="HS99" s="8"/>
      <c r="HT99" s="8"/>
      <c r="HU99" s="8"/>
      <c r="HV99" s="8"/>
      <c r="HW99" s="8"/>
      <c r="HX99" s="8"/>
      <c r="HY99" s="8"/>
      <c r="HZ99" s="8"/>
      <c r="IA99" s="8"/>
      <c r="IB99" s="8"/>
      <c r="IC99" s="8"/>
      <c r="ID99" s="8"/>
      <c r="IE99" s="8"/>
      <c r="IF99" s="8"/>
      <c r="IG99" s="8"/>
      <c r="IH99" s="8"/>
      <c r="II99" s="8"/>
      <c r="IJ99" s="8"/>
      <c r="IK99" s="8"/>
      <c r="IL99" s="8"/>
      <c r="IM99" s="8"/>
    </row>
    <row r="100" spans="1:247" x14ac:dyDescent="0.25">
      <c r="A100" s="4">
        <v>3151</v>
      </c>
      <c r="B100" s="9" t="s">
        <v>111</v>
      </c>
      <c r="C100" s="10" t="s">
        <v>9</v>
      </c>
      <c r="D100" s="1721" t="s">
        <v>3062</v>
      </c>
      <c r="E100" s="1728">
        <f t="shared" si="19"/>
        <v>1.0740000000000001</v>
      </c>
      <c r="F100" s="1723">
        <f t="shared" si="0"/>
        <v>1.0209999999999999</v>
      </c>
      <c r="G100" s="1729">
        <f t="shared" si="17"/>
        <v>1.0269999999999999</v>
      </c>
      <c r="H100" s="1728">
        <f t="shared" si="20"/>
        <v>1.0029999999999999</v>
      </c>
      <c r="I100" s="1730">
        <f t="shared" si="21"/>
        <v>1.0289999999999999</v>
      </c>
      <c r="J100" s="1730">
        <f t="shared" si="22"/>
        <v>1.0049999999999999</v>
      </c>
      <c r="K100" s="1730">
        <f t="shared" si="23"/>
        <v>1.026</v>
      </c>
      <c r="L100" s="1730">
        <f t="shared" si="24"/>
        <v>1.0129999999999999</v>
      </c>
      <c r="M100" s="1730">
        <f t="shared" si="25"/>
        <v>1.0029999999999999</v>
      </c>
      <c r="N100" s="1729">
        <f t="shared" si="18"/>
        <v>1.0029999999999999</v>
      </c>
      <c r="O100" s="1731">
        <f t="shared" si="26"/>
        <v>1.0209999999999999</v>
      </c>
      <c r="P100" s="1728">
        <f t="shared" si="15"/>
        <v>1.032</v>
      </c>
      <c r="Q100" s="1729">
        <f t="shared" si="16"/>
        <v>1.0349999999999999</v>
      </c>
      <c r="R100" s="1732">
        <f>PRODUCT(E100:Q100)</f>
        <v>1.3319480854780448</v>
      </c>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c r="GV100" s="8"/>
      <c r="GW100" s="8"/>
      <c r="GX100" s="8"/>
      <c r="GY100" s="8"/>
      <c r="GZ100" s="8"/>
      <c r="HA100" s="8"/>
      <c r="HB100" s="8"/>
      <c r="HC100" s="8"/>
      <c r="HD100" s="8"/>
      <c r="HE100" s="8"/>
      <c r="HF100" s="8"/>
      <c r="HG100" s="8"/>
      <c r="HH100" s="8"/>
      <c r="HI100" s="8"/>
      <c r="HJ100" s="8"/>
      <c r="HK100" s="8"/>
      <c r="HL100" s="8"/>
      <c r="HM100" s="8"/>
      <c r="HN100" s="8"/>
      <c r="HO100" s="8"/>
      <c r="HP100" s="8"/>
      <c r="HQ100" s="8"/>
      <c r="HR100" s="8"/>
      <c r="HS100" s="8"/>
      <c r="HT100" s="8"/>
      <c r="HU100" s="8"/>
      <c r="HV100" s="8"/>
      <c r="HW100" s="8"/>
      <c r="HX100" s="8"/>
      <c r="HY100" s="8"/>
      <c r="HZ100" s="8"/>
      <c r="IA100" s="8"/>
      <c r="IB100" s="8"/>
      <c r="IC100" s="8"/>
      <c r="ID100" s="8"/>
      <c r="IE100" s="8"/>
      <c r="IF100" s="8"/>
      <c r="IG100" s="8"/>
      <c r="IH100" s="8"/>
      <c r="II100" s="8"/>
      <c r="IJ100" s="8"/>
      <c r="IK100" s="8"/>
      <c r="IL100" s="8"/>
      <c r="IM100" s="8"/>
    </row>
    <row r="101" spans="1:247" x14ac:dyDescent="0.25">
      <c r="A101" s="4">
        <v>3161</v>
      </c>
      <c r="B101" s="9" t="s">
        <v>112</v>
      </c>
      <c r="C101" s="10" t="s">
        <v>9</v>
      </c>
      <c r="D101" s="1721" t="s">
        <v>3062</v>
      </c>
      <c r="E101" s="1728">
        <f t="shared" si="19"/>
        <v>1.0740000000000001</v>
      </c>
      <c r="F101" s="1723">
        <f t="shared" si="0"/>
        <v>1.0209999999999999</v>
      </c>
      <c r="G101" s="1729">
        <f t="shared" si="17"/>
        <v>1.0269999999999999</v>
      </c>
      <c r="H101" s="1728">
        <f t="shared" si="20"/>
        <v>1.0029999999999999</v>
      </c>
      <c r="I101" s="1730">
        <f t="shared" si="21"/>
        <v>1.0289999999999999</v>
      </c>
      <c r="J101" s="1730">
        <f t="shared" si="22"/>
        <v>1.0049999999999999</v>
      </c>
      <c r="K101" s="1730">
        <f t="shared" si="23"/>
        <v>1.026</v>
      </c>
      <c r="L101" s="1730">
        <f t="shared" si="24"/>
        <v>1.0129999999999999</v>
      </c>
      <c r="M101" s="1730">
        <f t="shared" si="25"/>
        <v>1.0029999999999999</v>
      </c>
      <c r="N101" s="1729">
        <f t="shared" si="18"/>
        <v>1.0029999999999999</v>
      </c>
      <c r="O101" s="1731">
        <f t="shared" si="26"/>
        <v>1.0209999999999999</v>
      </c>
      <c r="P101" s="1728">
        <f t="shared" si="15"/>
        <v>1.032</v>
      </c>
      <c r="Q101" s="1729">
        <f t="shared" si="16"/>
        <v>1.0349999999999999</v>
      </c>
      <c r="R101" s="1732">
        <f>PRODUCT(E101:Q101)</f>
        <v>1.3319480854780448</v>
      </c>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c r="ED101" s="8"/>
      <c r="EE101" s="8"/>
      <c r="EF101" s="8"/>
      <c r="EG101" s="8"/>
      <c r="EH101" s="8"/>
      <c r="EI101" s="8"/>
      <c r="EJ101" s="8"/>
      <c r="EK101" s="8"/>
      <c r="EL101" s="8"/>
      <c r="EM101" s="8"/>
      <c r="EN101" s="8"/>
      <c r="EO101" s="8"/>
      <c r="EP101" s="8"/>
      <c r="EQ101" s="8"/>
      <c r="ER101" s="8"/>
      <c r="ES101" s="8"/>
      <c r="ET101" s="8"/>
      <c r="EU101" s="8"/>
      <c r="EV101" s="8"/>
      <c r="EW101" s="8"/>
      <c r="EX101" s="8"/>
      <c r="EY101" s="8"/>
      <c r="EZ101" s="8"/>
      <c r="FA101" s="8"/>
      <c r="FB101" s="8"/>
      <c r="FC101" s="8"/>
      <c r="FD101" s="8"/>
      <c r="FE101" s="8"/>
      <c r="FF101" s="8"/>
      <c r="FG101" s="8"/>
      <c r="FH101" s="8"/>
      <c r="FI101" s="8"/>
      <c r="FJ101" s="8"/>
      <c r="FK101" s="8"/>
      <c r="FL101" s="8"/>
      <c r="FM101" s="8"/>
      <c r="FN101" s="8"/>
      <c r="FO101" s="8"/>
      <c r="FP101" s="8"/>
      <c r="FQ101" s="8"/>
      <c r="FR101" s="8"/>
      <c r="FS101" s="8"/>
      <c r="FT101" s="8"/>
      <c r="FU101" s="8"/>
      <c r="FV101" s="8"/>
      <c r="FW101" s="8"/>
      <c r="FX101" s="8"/>
      <c r="FY101" s="8"/>
      <c r="FZ101" s="8"/>
      <c r="GA101" s="8"/>
      <c r="GB101" s="8"/>
      <c r="GC101" s="8"/>
      <c r="GD101" s="8"/>
      <c r="GE101" s="8"/>
      <c r="GF101" s="8"/>
      <c r="GG101" s="8"/>
      <c r="GH101" s="8"/>
      <c r="GI101" s="8"/>
      <c r="GJ101" s="8"/>
      <c r="GK101" s="8"/>
      <c r="GL101" s="8"/>
      <c r="GM101" s="8"/>
      <c r="GN101" s="8"/>
      <c r="GO101" s="8"/>
      <c r="GP101" s="8"/>
      <c r="GQ101" s="8"/>
      <c r="GR101" s="8"/>
      <c r="GS101" s="8"/>
      <c r="GT101" s="8"/>
      <c r="GU101" s="8"/>
      <c r="GV101" s="8"/>
      <c r="GW101" s="8"/>
      <c r="GX101" s="8"/>
      <c r="GY101" s="8"/>
      <c r="GZ101" s="8"/>
      <c r="HA101" s="8"/>
      <c r="HB101" s="8"/>
      <c r="HC101" s="8"/>
      <c r="HD101" s="8"/>
      <c r="HE101" s="8"/>
      <c r="HF101" s="8"/>
      <c r="HG101" s="8"/>
      <c r="HH101" s="8"/>
      <c r="HI101" s="8"/>
      <c r="HJ101" s="8"/>
      <c r="HK101" s="8"/>
      <c r="HL101" s="8"/>
      <c r="HM101" s="8"/>
      <c r="HN101" s="8"/>
      <c r="HO101" s="8"/>
      <c r="HP101" s="8"/>
      <c r="HQ101" s="8"/>
      <c r="HR101" s="8"/>
      <c r="HS101" s="8"/>
      <c r="HT101" s="8"/>
      <c r="HU101" s="8"/>
      <c r="HV101" s="8"/>
      <c r="HW101" s="8"/>
      <c r="HX101" s="8"/>
      <c r="HY101" s="8"/>
      <c r="HZ101" s="8"/>
      <c r="IA101" s="8"/>
      <c r="IB101" s="8"/>
      <c r="IC101" s="8"/>
      <c r="ID101" s="8"/>
      <c r="IE101" s="8"/>
      <c r="IF101" s="8"/>
      <c r="IG101" s="8"/>
      <c r="IH101" s="8"/>
      <c r="II101" s="8"/>
      <c r="IJ101" s="8"/>
      <c r="IK101" s="8"/>
      <c r="IL101" s="8"/>
      <c r="IM101" s="8"/>
    </row>
    <row r="102" spans="1:247" x14ac:dyDescent="0.25">
      <c r="A102" s="4">
        <v>3171</v>
      </c>
      <c r="B102" s="9" t="s">
        <v>113</v>
      </c>
      <c r="C102" s="10" t="s">
        <v>9</v>
      </c>
      <c r="D102" s="1721" t="s">
        <v>3062</v>
      </c>
      <c r="E102" s="1728">
        <f t="shared" si="19"/>
        <v>1.0740000000000001</v>
      </c>
      <c r="F102" s="1723">
        <f t="shared" si="0"/>
        <v>1.0209999999999999</v>
      </c>
      <c r="G102" s="1729">
        <f t="shared" si="17"/>
        <v>1.0269999999999999</v>
      </c>
      <c r="H102" s="1728">
        <f t="shared" si="20"/>
        <v>1.0029999999999999</v>
      </c>
      <c r="I102" s="1730">
        <f t="shared" si="21"/>
        <v>1.0289999999999999</v>
      </c>
      <c r="J102" s="1730">
        <f t="shared" si="22"/>
        <v>1.0049999999999999</v>
      </c>
      <c r="K102" s="1730">
        <f t="shared" si="23"/>
        <v>1.026</v>
      </c>
      <c r="L102" s="1730">
        <f t="shared" si="24"/>
        <v>1.0129999999999999</v>
      </c>
      <c r="M102" s="1730">
        <f t="shared" si="25"/>
        <v>1.0029999999999999</v>
      </c>
      <c r="N102" s="1729">
        <f t="shared" si="18"/>
        <v>1.0029999999999999</v>
      </c>
      <c r="O102" s="1731">
        <f t="shared" si="26"/>
        <v>1.0209999999999999</v>
      </c>
      <c r="P102" s="1728">
        <f t="shared" si="15"/>
        <v>1.032</v>
      </c>
      <c r="Q102" s="1729">
        <f t="shared" si="16"/>
        <v>1.0349999999999999</v>
      </c>
      <c r="R102" s="1732">
        <f>PRODUCT(E102:Q102)</f>
        <v>1.3319480854780448</v>
      </c>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c r="ED102" s="8"/>
      <c r="EE102" s="8"/>
      <c r="EF102" s="8"/>
      <c r="EG102" s="8"/>
      <c r="EH102" s="8"/>
      <c r="EI102" s="8"/>
      <c r="EJ102" s="8"/>
      <c r="EK102" s="8"/>
      <c r="EL102" s="8"/>
      <c r="EM102" s="8"/>
      <c r="EN102" s="8"/>
      <c r="EO102" s="8"/>
      <c r="EP102" s="8"/>
      <c r="EQ102" s="8"/>
      <c r="ER102" s="8"/>
      <c r="ES102" s="8"/>
      <c r="ET102" s="8"/>
      <c r="EU102" s="8"/>
      <c r="EV102" s="8"/>
      <c r="EW102" s="8"/>
      <c r="EX102" s="8"/>
      <c r="EY102" s="8"/>
      <c r="EZ102" s="8"/>
      <c r="FA102" s="8"/>
      <c r="FB102" s="8"/>
      <c r="FC102" s="8"/>
      <c r="FD102" s="8"/>
      <c r="FE102" s="8"/>
      <c r="FF102" s="8"/>
      <c r="FG102" s="8"/>
      <c r="FH102" s="8"/>
      <c r="FI102" s="8"/>
      <c r="FJ102" s="8"/>
      <c r="FK102" s="8"/>
      <c r="FL102" s="8"/>
      <c r="FM102" s="8"/>
      <c r="FN102" s="8"/>
      <c r="FO102" s="8"/>
      <c r="FP102" s="8"/>
      <c r="FQ102" s="8"/>
      <c r="FR102" s="8"/>
      <c r="FS102" s="8"/>
      <c r="FT102" s="8"/>
      <c r="FU102" s="8"/>
      <c r="FV102" s="8"/>
      <c r="FW102" s="8"/>
      <c r="FX102" s="8"/>
      <c r="FY102" s="8"/>
      <c r="FZ102" s="8"/>
      <c r="GA102" s="8"/>
      <c r="GB102" s="8"/>
      <c r="GC102" s="8"/>
      <c r="GD102" s="8"/>
      <c r="GE102" s="8"/>
      <c r="GF102" s="8"/>
      <c r="GG102" s="8"/>
      <c r="GH102" s="8"/>
      <c r="GI102" s="8"/>
      <c r="GJ102" s="8"/>
      <c r="GK102" s="8"/>
      <c r="GL102" s="8"/>
      <c r="GM102" s="8"/>
      <c r="GN102" s="8"/>
      <c r="GO102" s="8"/>
      <c r="GP102" s="8"/>
      <c r="GQ102" s="8"/>
      <c r="GR102" s="8"/>
      <c r="GS102" s="8"/>
      <c r="GT102" s="8"/>
      <c r="GU102" s="8"/>
      <c r="GV102" s="8"/>
      <c r="GW102" s="8"/>
      <c r="GX102" s="8"/>
      <c r="GY102" s="8"/>
      <c r="GZ102" s="8"/>
      <c r="HA102" s="8"/>
      <c r="HB102" s="8"/>
      <c r="HC102" s="8"/>
      <c r="HD102" s="8"/>
      <c r="HE102" s="8"/>
      <c r="HF102" s="8"/>
      <c r="HG102" s="8"/>
      <c r="HH102" s="8"/>
      <c r="HI102" s="8"/>
      <c r="HJ102" s="8"/>
      <c r="HK102" s="8"/>
      <c r="HL102" s="8"/>
      <c r="HM102" s="8"/>
      <c r="HN102" s="8"/>
      <c r="HO102" s="8"/>
      <c r="HP102" s="8"/>
      <c r="HQ102" s="8"/>
      <c r="HR102" s="8"/>
      <c r="HS102" s="8"/>
      <c r="HT102" s="8"/>
      <c r="HU102" s="8"/>
      <c r="HV102" s="8"/>
      <c r="HW102" s="8"/>
      <c r="HX102" s="8"/>
      <c r="HY102" s="8"/>
      <c r="HZ102" s="8"/>
      <c r="IA102" s="8"/>
      <c r="IB102" s="8"/>
      <c r="IC102" s="8"/>
      <c r="ID102" s="8"/>
      <c r="IE102" s="8"/>
      <c r="IF102" s="8"/>
      <c r="IG102" s="8"/>
      <c r="IH102" s="8"/>
      <c r="II102" s="8"/>
      <c r="IJ102" s="8"/>
      <c r="IK102" s="8"/>
      <c r="IL102" s="8"/>
      <c r="IM102" s="8"/>
    </row>
    <row r="103" spans="1:247" x14ac:dyDescent="0.25">
      <c r="A103" s="4">
        <v>3181</v>
      </c>
      <c r="B103" s="9" t="s">
        <v>114</v>
      </c>
      <c r="C103" s="10" t="s">
        <v>9</v>
      </c>
      <c r="D103" s="1721" t="s">
        <v>3062</v>
      </c>
      <c r="E103" s="1728">
        <f t="shared" si="19"/>
        <v>1.0740000000000001</v>
      </c>
      <c r="F103" s="1723">
        <f t="shared" si="0"/>
        <v>1.0209999999999999</v>
      </c>
      <c r="G103" s="1729"/>
      <c r="H103" s="1728">
        <f t="shared" si="20"/>
        <v>1.0029999999999999</v>
      </c>
      <c r="I103" s="1730">
        <f t="shared" si="21"/>
        <v>1.0289999999999999</v>
      </c>
      <c r="J103" s="1730">
        <f t="shared" si="22"/>
        <v>1.0049999999999999</v>
      </c>
      <c r="K103" s="1730">
        <f t="shared" si="23"/>
        <v>1.026</v>
      </c>
      <c r="L103" s="1730">
        <f t="shared" si="24"/>
        <v>1.0129999999999999</v>
      </c>
      <c r="M103" s="1730">
        <f t="shared" si="25"/>
        <v>1.0029999999999999</v>
      </c>
      <c r="N103" s="1729">
        <f t="shared" si="18"/>
        <v>1.0029999999999999</v>
      </c>
      <c r="O103" s="1731">
        <f t="shared" si="26"/>
        <v>1.0209999999999999</v>
      </c>
      <c r="P103" s="1728">
        <f t="shared" si="15"/>
        <v>1.032</v>
      </c>
      <c r="Q103" s="1729">
        <f t="shared" si="16"/>
        <v>1.0349999999999999</v>
      </c>
      <c r="R103" s="1732">
        <f t="shared" si="1"/>
        <v>1.2969309498325658</v>
      </c>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c r="ED103" s="8"/>
      <c r="EE103" s="8"/>
      <c r="EF103" s="8"/>
      <c r="EG103" s="8"/>
      <c r="EH103" s="8"/>
      <c r="EI103" s="8"/>
      <c r="EJ103" s="8"/>
      <c r="EK103" s="8"/>
      <c r="EL103" s="8"/>
      <c r="EM103" s="8"/>
      <c r="EN103" s="8"/>
      <c r="EO103" s="8"/>
      <c r="EP103" s="8"/>
      <c r="EQ103" s="8"/>
      <c r="ER103" s="8"/>
      <c r="ES103" s="8"/>
      <c r="ET103" s="8"/>
      <c r="EU103" s="8"/>
      <c r="EV103" s="8"/>
      <c r="EW103" s="8"/>
      <c r="EX103" s="8"/>
      <c r="EY103" s="8"/>
      <c r="EZ103" s="8"/>
      <c r="FA103" s="8"/>
      <c r="FB103" s="8"/>
      <c r="FC103" s="8"/>
      <c r="FD103" s="8"/>
      <c r="FE103" s="8"/>
      <c r="FF103" s="8"/>
      <c r="FG103" s="8"/>
      <c r="FH103" s="8"/>
      <c r="FI103" s="8"/>
      <c r="FJ103" s="8"/>
      <c r="FK103" s="8"/>
      <c r="FL103" s="8"/>
      <c r="FM103" s="8"/>
      <c r="FN103" s="8"/>
      <c r="FO103" s="8"/>
      <c r="FP103" s="8"/>
      <c r="FQ103" s="8"/>
      <c r="FR103" s="8"/>
      <c r="FS103" s="8"/>
      <c r="FT103" s="8"/>
      <c r="FU103" s="8"/>
      <c r="FV103" s="8"/>
      <c r="FW103" s="8"/>
      <c r="FX103" s="8"/>
      <c r="FY103" s="8"/>
      <c r="FZ103" s="8"/>
      <c r="GA103" s="8"/>
      <c r="GB103" s="8"/>
      <c r="GC103" s="8"/>
      <c r="GD103" s="8"/>
      <c r="GE103" s="8"/>
      <c r="GF103" s="8"/>
      <c r="GG103" s="8"/>
      <c r="GH103" s="8"/>
      <c r="GI103" s="8"/>
      <c r="GJ103" s="8"/>
      <c r="GK103" s="8"/>
      <c r="GL103" s="8"/>
      <c r="GM103" s="8"/>
      <c r="GN103" s="8"/>
      <c r="GO103" s="8"/>
      <c r="GP103" s="8"/>
      <c r="GQ103" s="8"/>
      <c r="GR103" s="8"/>
      <c r="GS103" s="8"/>
      <c r="GT103" s="8"/>
      <c r="GU103" s="8"/>
      <c r="GV103" s="8"/>
      <c r="GW103" s="8"/>
      <c r="GX103" s="8"/>
      <c r="GY103" s="8"/>
      <c r="GZ103" s="8"/>
      <c r="HA103" s="8"/>
      <c r="HB103" s="8"/>
      <c r="HC103" s="8"/>
      <c r="HD103" s="8"/>
      <c r="HE103" s="8"/>
      <c r="HF103" s="8"/>
      <c r="HG103" s="8"/>
      <c r="HH103" s="8"/>
      <c r="HI103" s="8"/>
      <c r="HJ103" s="8"/>
      <c r="HK103" s="8"/>
      <c r="HL103" s="8"/>
      <c r="HM103" s="8"/>
      <c r="HN103" s="8"/>
      <c r="HO103" s="8"/>
      <c r="HP103" s="8"/>
      <c r="HQ103" s="8"/>
      <c r="HR103" s="8"/>
      <c r="HS103" s="8"/>
      <c r="HT103" s="8"/>
      <c r="HU103" s="8"/>
      <c r="HV103" s="8"/>
      <c r="HW103" s="8"/>
      <c r="HX103" s="8"/>
      <c r="HY103" s="8"/>
      <c r="HZ103" s="8"/>
      <c r="IA103" s="8"/>
      <c r="IB103" s="8"/>
      <c r="IC103" s="8"/>
      <c r="ID103" s="8"/>
      <c r="IE103" s="8"/>
      <c r="IF103" s="8"/>
      <c r="IG103" s="8"/>
      <c r="IH103" s="8"/>
      <c r="II103" s="8"/>
      <c r="IJ103" s="8"/>
      <c r="IK103" s="8"/>
      <c r="IL103" s="8"/>
      <c r="IM103" s="8"/>
    </row>
    <row r="104" spans="1:247" x14ac:dyDescent="0.25">
      <c r="A104" s="4">
        <v>3191</v>
      </c>
      <c r="B104" s="9" t="s">
        <v>115</v>
      </c>
      <c r="C104" s="10" t="s">
        <v>9</v>
      </c>
      <c r="D104" s="1721" t="s">
        <v>3062</v>
      </c>
      <c r="E104" s="1728">
        <f t="shared" si="19"/>
        <v>1.0740000000000001</v>
      </c>
      <c r="F104" s="1723">
        <f t="shared" si="0"/>
        <v>1.0209999999999999</v>
      </c>
      <c r="G104" s="1729">
        <f t="shared" si="17"/>
        <v>1.0269999999999999</v>
      </c>
      <c r="H104" s="1728">
        <f t="shared" si="20"/>
        <v>1.0029999999999999</v>
      </c>
      <c r="I104" s="1730">
        <f t="shared" si="21"/>
        <v>1.0289999999999999</v>
      </c>
      <c r="J104" s="1730">
        <f t="shared" si="22"/>
        <v>1.0049999999999999</v>
      </c>
      <c r="K104" s="1730">
        <f t="shared" si="23"/>
        <v>1.026</v>
      </c>
      <c r="L104" s="1730">
        <f t="shared" si="24"/>
        <v>1.0129999999999999</v>
      </c>
      <c r="M104" s="1730">
        <f t="shared" si="25"/>
        <v>1.0029999999999999</v>
      </c>
      <c r="N104" s="1729">
        <f t="shared" si="18"/>
        <v>1.0029999999999999</v>
      </c>
      <c r="O104" s="1731">
        <f t="shared" si="26"/>
        <v>1.0209999999999999</v>
      </c>
      <c r="P104" s="1728">
        <f t="shared" si="15"/>
        <v>1.032</v>
      </c>
      <c r="Q104" s="1729">
        <f t="shared" si="16"/>
        <v>1.0349999999999999</v>
      </c>
      <c r="R104" s="1732">
        <f>PRODUCT(E104:Q104)</f>
        <v>1.3319480854780448</v>
      </c>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c r="ED104" s="8"/>
      <c r="EE104" s="8"/>
      <c r="EF104" s="8"/>
      <c r="EG104" s="8"/>
      <c r="EH104" s="8"/>
      <c r="EI104" s="8"/>
      <c r="EJ104" s="8"/>
      <c r="EK104" s="8"/>
      <c r="EL104" s="8"/>
      <c r="EM104" s="8"/>
      <c r="EN104" s="8"/>
      <c r="EO104" s="8"/>
      <c r="EP104" s="8"/>
      <c r="EQ104" s="8"/>
      <c r="ER104" s="8"/>
      <c r="ES104" s="8"/>
      <c r="ET104" s="8"/>
      <c r="EU104" s="8"/>
      <c r="EV104" s="8"/>
      <c r="EW104" s="8"/>
      <c r="EX104" s="8"/>
      <c r="EY104" s="8"/>
      <c r="EZ104" s="8"/>
      <c r="FA104" s="8"/>
      <c r="FB104" s="8"/>
      <c r="FC104" s="8"/>
      <c r="FD104" s="8"/>
      <c r="FE104" s="8"/>
      <c r="FF104" s="8"/>
      <c r="FG104" s="8"/>
      <c r="FH104" s="8"/>
      <c r="FI104" s="8"/>
      <c r="FJ104" s="8"/>
      <c r="FK104" s="8"/>
      <c r="FL104" s="8"/>
      <c r="FM104" s="8"/>
      <c r="FN104" s="8"/>
      <c r="FO104" s="8"/>
      <c r="FP104" s="8"/>
      <c r="FQ104" s="8"/>
      <c r="FR104" s="8"/>
      <c r="FS104" s="8"/>
      <c r="FT104" s="8"/>
      <c r="FU104" s="8"/>
      <c r="FV104" s="8"/>
      <c r="FW104" s="8"/>
      <c r="FX104" s="8"/>
      <c r="FY104" s="8"/>
      <c r="FZ104" s="8"/>
      <c r="GA104" s="8"/>
      <c r="GB104" s="8"/>
      <c r="GC104" s="8"/>
      <c r="GD104" s="8"/>
      <c r="GE104" s="8"/>
      <c r="GF104" s="8"/>
      <c r="GG104" s="8"/>
      <c r="GH104" s="8"/>
      <c r="GI104" s="8"/>
      <c r="GJ104" s="8"/>
      <c r="GK104" s="8"/>
      <c r="GL104" s="8"/>
      <c r="GM104" s="8"/>
      <c r="GN104" s="8"/>
      <c r="GO104" s="8"/>
      <c r="GP104" s="8"/>
      <c r="GQ104" s="8"/>
      <c r="GR104" s="8"/>
      <c r="GS104" s="8"/>
      <c r="GT104" s="8"/>
      <c r="GU104" s="8"/>
      <c r="GV104" s="8"/>
      <c r="GW104" s="8"/>
      <c r="GX104" s="8"/>
      <c r="GY104" s="8"/>
      <c r="GZ104" s="8"/>
      <c r="HA104" s="8"/>
      <c r="HB104" s="8"/>
      <c r="HC104" s="8"/>
      <c r="HD104" s="8"/>
      <c r="HE104" s="8"/>
      <c r="HF104" s="8"/>
      <c r="HG104" s="8"/>
      <c r="HH104" s="8"/>
      <c r="HI104" s="8"/>
      <c r="HJ104" s="8"/>
      <c r="HK104" s="8"/>
      <c r="HL104" s="8"/>
      <c r="HM104" s="8"/>
      <c r="HN104" s="8"/>
      <c r="HO104" s="8"/>
      <c r="HP104" s="8"/>
      <c r="HQ104" s="8"/>
      <c r="HR104" s="8"/>
      <c r="HS104" s="8"/>
      <c r="HT104" s="8"/>
      <c r="HU104" s="8"/>
      <c r="HV104" s="8"/>
      <c r="HW104" s="8"/>
      <c r="HX104" s="8"/>
      <c r="HY104" s="8"/>
      <c r="HZ104" s="8"/>
      <c r="IA104" s="8"/>
      <c r="IB104" s="8"/>
      <c r="IC104" s="8"/>
      <c r="ID104" s="8"/>
      <c r="IE104" s="8"/>
      <c r="IF104" s="8"/>
      <c r="IG104" s="8"/>
      <c r="IH104" s="8"/>
      <c r="II104" s="8"/>
      <c r="IJ104" s="8"/>
      <c r="IK104" s="8"/>
      <c r="IL104" s="8"/>
      <c r="IM104" s="8"/>
    </row>
    <row r="105" spans="1:247" x14ac:dyDescent="0.25">
      <c r="A105" s="4">
        <v>3201</v>
      </c>
      <c r="B105" s="9" t="s">
        <v>116</v>
      </c>
      <c r="C105" s="10" t="s">
        <v>9</v>
      </c>
      <c r="D105" s="1721" t="s">
        <v>3062</v>
      </c>
      <c r="E105" s="1728">
        <f t="shared" si="19"/>
        <v>1.0740000000000001</v>
      </c>
      <c r="F105" s="1723">
        <f t="shared" si="0"/>
        <v>1.0209999999999999</v>
      </c>
      <c r="G105" s="1729">
        <f t="shared" si="17"/>
        <v>1.0269999999999999</v>
      </c>
      <c r="H105" s="1728">
        <f t="shared" si="20"/>
        <v>1.0029999999999999</v>
      </c>
      <c r="I105" s="1730">
        <f t="shared" si="21"/>
        <v>1.0289999999999999</v>
      </c>
      <c r="J105" s="1730">
        <f t="shared" si="22"/>
        <v>1.0049999999999999</v>
      </c>
      <c r="K105" s="1730">
        <f t="shared" si="23"/>
        <v>1.026</v>
      </c>
      <c r="L105" s="1730">
        <f t="shared" si="24"/>
        <v>1.0129999999999999</v>
      </c>
      <c r="M105" s="1730">
        <f t="shared" si="25"/>
        <v>1.0029999999999999</v>
      </c>
      <c r="N105" s="1729">
        <f t="shared" si="18"/>
        <v>1.0029999999999999</v>
      </c>
      <c r="O105" s="1731">
        <f t="shared" si="26"/>
        <v>1.0209999999999999</v>
      </c>
      <c r="P105" s="1728">
        <f t="shared" si="15"/>
        <v>1.032</v>
      </c>
      <c r="Q105" s="1729">
        <f t="shared" si="16"/>
        <v>1.0349999999999999</v>
      </c>
      <c r="R105" s="1732">
        <f>PRODUCT(E105:Q105)</f>
        <v>1.3319480854780448</v>
      </c>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c r="ED105" s="8"/>
      <c r="EE105" s="8"/>
      <c r="EF105" s="8"/>
      <c r="EG105" s="8"/>
      <c r="EH105" s="8"/>
      <c r="EI105" s="8"/>
      <c r="EJ105" s="8"/>
      <c r="EK105" s="8"/>
      <c r="EL105" s="8"/>
      <c r="EM105" s="8"/>
      <c r="EN105" s="8"/>
      <c r="EO105" s="8"/>
      <c r="EP105" s="8"/>
      <c r="EQ105" s="8"/>
      <c r="ER105" s="8"/>
      <c r="ES105" s="8"/>
      <c r="ET105" s="8"/>
      <c r="EU105" s="8"/>
      <c r="EV105" s="8"/>
      <c r="EW105" s="8"/>
      <c r="EX105" s="8"/>
      <c r="EY105" s="8"/>
      <c r="EZ105" s="8"/>
      <c r="FA105" s="8"/>
      <c r="FB105" s="8"/>
      <c r="FC105" s="8"/>
      <c r="FD105" s="8"/>
      <c r="FE105" s="8"/>
      <c r="FF105" s="8"/>
      <c r="FG105" s="8"/>
      <c r="FH105" s="8"/>
      <c r="FI105" s="8"/>
      <c r="FJ105" s="8"/>
      <c r="FK105" s="8"/>
      <c r="FL105" s="8"/>
      <c r="FM105" s="8"/>
      <c r="FN105" s="8"/>
      <c r="FO105" s="8"/>
      <c r="FP105" s="8"/>
      <c r="FQ105" s="8"/>
      <c r="FR105" s="8"/>
      <c r="FS105" s="8"/>
      <c r="FT105" s="8"/>
      <c r="FU105" s="8"/>
      <c r="FV105" s="8"/>
      <c r="FW105" s="8"/>
      <c r="FX105" s="8"/>
      <c r="FY105" s="8"/>
      <c r="FZ105" s="8"/>
      <c r="GA105" s="8"/>
      <c r="GB105" s="8"/>
      <c r="GC105" s="8"/>
      <c r="GD105" s="8"/>
      <c r="GE105" s="8"/>
      <c r="GF105" s="8"/>
      <c r="GG105" s="8"/>
      <c r="GH105" s="8"/>
      <c r="GI105" s="8"/>
      <c r="GJ105" s="8"/>
      <c r="GK105" s="8"/>
      <c r="GL105" s="8"/>
      <c r="GM105" s="8"/>
      <c r="GN105" s="8"/>
      <c r="GO105" s="8"/>
      <c r="GP105" s="8"/>
      <c r="GQ105" s="8"/>
      <c r="GR105" s="8"/>
      <c r="GS105" s="8"/>
      <c r="GT105" s="8"/>
      <c r="GU105" s="8"/>
      <c r="GV105" s="8"/>
      <c r="GW105" s="8"/>
      <c r="GX105" s="8"/>
      <c r="GY105" s="8"/>
      <c r="GZ105" s="8"/>
      <c r="HA105" s="8"/>
      <c r="HB105" s="8"/>
      <c r="HC105" s="8"/>
      <c r="HD105" s="8"/>
      <c r="HE105" s="8"/>
      <c r="HF105" s="8"/>
      <c r="HG105" s="8"/>
      <c r="HH105" s="8"/>
      <c r="HI105" s="8"/>
      <c r="HJ105" s="8"/>
      <c r="HK105" s="8"/>
      <c r="HL105" s="8"/>
      <c r="HM105" s="8"/>
      <c r="HN105" s="8"/>
      <c r="HO105" s="8"/>
      <c r="HP105" s="8"/>
      <c r="HQ105" s="8"/>
      <c r="HR105" s="8"/>
      <c r="HS105" s="8"/>
      <c r="HT105" s="8"/>
      <c r="HU105" s="8"/>
      <c r="HV105" s="8"/>
      <c r="HW105" s="8"/>
      <c r="HX105" s="8"/>
      <c r="HY105" s="8"/>
      <c r="HZ105" s="8"/>
      <c r="IA105" s="8"/>
      <c r="IB105" s="8"/>
      <c r="IC105" s="8"/>
      <c r="ID105" s="8"/>
      <c r="IE105" s="8"/>
      <c r="IF105" s="8"/>
      <c r="IG105" s="8"/>
      <c r="IH105" s="8"/>
      <c r="II105" s="8"/>
      <c r="IJ105" s="8"/>
      <c r="IK105" s="8"/>
      <c r="IL105" s="8"/>
      <c r="IM105" s="8"/>
    </row>
    <row r="106" spans="1:247" x14ac:dyDescent="0.25">
      <c r="A106" s="4">
        <v>4114</v>
      </c>
      <c r="B106" s="9" t="s">
        <v>118</v>
      </c>
      <c r="C106" s="10" t="s">
        <v>6</v>
      </c>
      <c r="D106" s="1721" t="s">
        <v>3060</v>
      </c>
      <c r="E106" s="1728"/>
      <c r="F106" s="1723">
        <f t="shared" si="0"/>
        <v>1.0209999999999999</v>
      </c>
      <c r="G106" s="1729"/>
      <c r="H106" s="1728"/>
      <c r="I106" s="1730"/>
      <c r="J106" s="1730"/>
      <c r="K106" s="1730"/>
      <c r="L106" s="1730"/>
      <c r="M106" s="1730"/>
      <c r="N106" s="1729"/>
      <c r="O106" s="1731"/>
      <c r="P106" s="1728"/>
      <c r="Q106" s="1729"/>
      <c r="R106" s="1732">
        <f t="shared" si="1"/>
        <v>1.0209999999999999</v>
      </c>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c r="ED106" s="8"/>
      <c r="EE106" s="8"/>
      <c r="EF106" s="8"/>
      <c r="EG106" s="8"/>
      <c r="EH106" s="8"/>
      <c r="EI106" s="8"/>
      <c r="EJ106" s="8"/>
      <c r="EK106" s="8"/>
      <c r="EL106" s="8"/>
      <c r="EM106" s="8"/>
      <c r="EN106" s="8"/>
      <c r="EO106" s="8"/>
      <c r="EP106" s="8"/>
      <c r="EQ106" s="8"/>
      <c r="ER106" s="8"/>
      <c r="ES106" s="8"/>
      <c r="ET106" s="8"/>
      <c r="EU106" s="8"/>
      <c r="EV106" s="8"/>
      <c r="EW106" s="8"/>
      <c r="EX106" s="8"/>
      <c r="EY106" s="8"/>
      <c r="EZ106" s="8"/>
      <c r="FA106" s="8"/>
      <c r="FB106" s="8"/>
      <c r="FC106" s="8"/>
      <c r="FD106" s="8"/>
      <c r="FE106" s="8"/>
      <c r="FF106" s="8"/>
      <c r="FG106" s="8"/>
      <c r="FH106" s="8"/>
      <c r="FI106" s="8"/>
      <c r="FJ106" s="8"/>
      <c r="FK106" s="8"/>
      <c r="FL106" s="8"/>
      <c r="FM106" s="8"/>
      <c r="FN106" s="8"/>
      <c r="FO106" s="8"/>
      <c r="FP106" s="8"/>
      <c r="FQ106" s="8"/>
      <c r="FR106" s="8"/>
      <c r="FS106" s="8"/>
      <c r="FT106" s="8"/>
      <c r="FU106" s="8"/>
      <c r="FV106" s="8"/>
      <c r="FW106" s="8"/>
      <c r="FX106" s="8"/>
      <c r="FY106" s="8"/>
      <c r="FZ106" s="8"/>
      <c r="GA106" s="8"/>
      <c r="GB106" s="8"/>
      <c r="GC106" s="8"/>
      <c r="GD106" s="8"/>
      <c r="GE106" s="8"/>
      <c r="GF106" s="8"/>
      <c r="GG106" s="8"/>
      <c r="GH106" s="8"/>
      <c r="GI106" s="8"/>
      <c r="GJ106" s="8"/>
      <c r="GK106" s="8"/>
      <c r="GL106" s="8"/>
      <c r="GM106" s="8"/>
      <c r="GN106" s="8"/>
      <c r="GO106" s="8"/>
      <c r="GP106" s="8"/>
      <c r="GQ106" s="8"/>
      <c r="GR106" s="8"/>
      <c r="GS106" s="8"/>
      <c r="GT106" s="8"/>
      <c r="GU106" s="8"/>
      <c r="GV106" s="8"/>
      <c r="GW106" s="8"/>
      <c r="GX106" s="8"/>
      <c r="GY106" s="8"/>
      <c r="GZ106" s="8"/>
      <c r="HA106" s="8"/>
      <c r="HB106" s="8"/>
      <c r="HC106" s="8"/>
      <c r="HD106" s="8"/>
      <c r="HE106" s="8"/>
      <c r="HF106" s="8"/>
      <c r="HG106" s="8"/>
      <c r="HH106" s="8"/>
      <c r="HI106" s="8"/>
      <c r="HJ106" s="8"/>
      <c r="HK106" s="8"/>
      <c r="HL106" s="8"/>
      <c r="HM106" s="8"/>
      <c r="HN106" s="8"/>
      <c r="HO106" s="8"/>
      <c r="HP106" s="8"/>
      <c r="HQ106" s="8"/>
      <c r="HR106" s="8"/>
      <c r="HS106" s="8"/>
      <c r="HT106" s="8"/>
      <c r="HU106" s="8"/>
      <c r="HV106" s="8"/>
      <c r="HW106" s="8"/>
      <c r="HX106" s="8"/>
      <c r="HY106" s="8"/>
      <c r="HZ106" s="8"/>
      <c r="IA106" s="8"/>
      <c r="IB106" s="8"/>
      <c r="IC106" s="8"/>
      <c r="ID106" s="8"/>
      <c r="IE106" s="8"/>
      <c r="IF106" s="8"/>
      <c r="IG106" s="8"/>
      <c r="IH106" s="8"/>
      <c r="II106" s="8"/>
      <c r="IJ106" s="8"/>
      <c r="IK106" s="8"/>
      <c r="IL106" s="8"/>
      <c r="IM106" s="8"/>
    </row>
    <row r="107" spans="1:247" x14ac:dyDescent="0.25">
      <c r="A107" s="4">
        <v>4212</v>
      </c>
      <c r="B107" s="9" t="s">
        <v>119</v>
      </c>
      <c r="C107" s="10" t="s">
        <v>9</v>
      </c>
      <c r="D107" s="1721" t="s">
        <v>3062</v>
      </c>
      <c r="E107" s="1728"/>
      <c r="F107" s="1723">
        <f t="shared" si="0"/>
        <v>1.0209999999999999</v>
      </c>
      <c r="G107" s="1729">
        <f>+$G$3</f>
        <v>1.0269999999999999</v>
      </c>
      <c r="H107" s="1728">
        <f>+$H$3</f>
        <v>1.0029999999999999</v>
      </c>
      <c r="I107" s="1730">
        <f>+$I$3</f>
        <v>1.0289999999999999</v>
      </c>
      <c r="J107" s="1730">
        <f>+$J$3</f>
        <v>1.0049999999999999</v>
      </c>
      <c r="K107" s="1730"/>
      <c r="L107" s="1730"/>
      <c r="M107" s="1730">
        <f>+$M$3</f>
        <v>1.0029999999999999</v>
      </c>
      <c r="N107" s="1729">
        <f>+$N$3</f>
        <v>1.0029999999999999</v>
      </c>
      <c r="O107" s="1731">
        <f>+$O$3</f>
        <v>1.0209999999999999</v>
      </c>
      <c r="P107" s="1728">
        <f>+$P$3</f>
        <v>1.032</v>
      </c>
      <c r="Q107" s="1729">
        <f>+$Q$3</f>
        <v>1.0349999999999999</v>
      </c>
      <c r="R107" s="1732">
        <f t="shared" si="1"/>
        <v>1.1932356231980656</v>
      </c>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c r="ED107" s="8"/>
      <c r="EE107" s="8"/>
      <c r="EF107" s="8"/>
      <c r="EG107" s="8"/>
      <c r="EH107" s="8"/>
      <c r="EI107" s="8"/>
      <c r="EJ107" s="8"/>
      <c r="EK107" s="8"/>
      <c r="EL107" s="8"/>
      <c r="EM107" s="8"/>
      <c r="EN107" s="8"/>
      <c r="EO107" s="8"/>
      <c r="EP107" s="8"/>
      <c r="EQ107" s="8"/>
      <c r="ER107" s="8"/>
      <c r="ES107" s="8"/>
      <c r="ET107" s="8"/>
      <c r="EU107" s="8"/>
      <c r="EV107" s="8"/>
      <c r="EW107" s="8"/>
      <c r="EX107" s="8"/>
      <c r="EY107" s="8"/>
      <c r="EZ107" s="8"/>
      <c r="FA107" s="8"/>
      <c r="FB107" s="8"/>
      <c r="FC107" s="8"/>
      <c r="FD107" s="8"/>
      <c r="FE107" s="8"/>
      <c r="FF107" s="8"/>
      <c r="FG107" s="8"/>
      <c r="FH107" s="8"/>
      <c r="FI107" s="8"/>
      <c r="FJ107" s="8"/>
      <c r="FK107" s="8"/>
      <c r="FL107" s="8"/>
      <c r="FM107" s="8"/>
      <c r="FN107" s="8"/>
      <c r="FO107" s="8"/>
      <c r="FP107" s="8"/>
      <c r="FQ107" s="8"/>
      <c r="FR107" s="8"/>
      <c r="FS107" s="8"/>
      <c r="FT107" s="8"/>
      <c r="FU107" s="8"/>
      <c r="FV107" s="8"/>
      <c r="FW107" s="8"/>
      <c r="FX107" s="8"/>
      <c r="FY107" s="8"/>
      <c r="FZ107" s="8"/>
      <c r="GA107" s="8"/>
      <c r="GB107" s="8"/>
      <c r="GC107" s="8"/>
      <c r="GD107" s="8"/>
      <c r="GE107" s="8"/>
      <c r="GF107" s="8"/>
      <c r="GG107" s="8"/>
      <c r="GH107" s="8"/>
      <c r="GI107" s="8"/>
      <c r="GJ107" s="8"/>
      <c r="GK107" s="8"/>
      <c r="GL107" s="8"/>
      <c r="GM107" s="8"/>
      <c r="GN107" s="8"/>
      <c r="GO107" s="8"/>
      <c r="GP107" s="8"/>
      <c r="GQ107" s="8"/>
      <c r="GR107" s="8"/>
      <c r="GS107" s="8"/>
      <c r="GT107" s="8"/>
      <c r="GU107" s="8"/>
      <c r="GV107" s="8"/>
      <c r="GW107" s="8"/>
      <c r="GX107" s="8"/>
      <c r="GY107" s="8"/>
      <c r="GZ107" s="8"/>
      <c r="HA107" s="8"/>
      <c r="HB107" s="8"/>
      <c r="HC107" s="8"/>
      <c r="HD107" s="8"/>
      <c r="HE107" s="8"/>
      <c r="HF107" s="8"/>
      <c r="HG107" s="8"/>
      <c r="HH107" s="8"/>
      <c r="HI107" s="8"/>
      <c r="HJ107" s="8"/>
      <c r="HK107" s="8"/>
      <c r="HL107" s="8"/>
      <c r="HM107" s="8"/>
      <c r="HN107" s="8"/>
      <c r="HO107" s="8"/>
      <c r="HP107" s="8"/>
      <c r="HQ107" s="8"/>
      <c r="HR107" s="8"/>
      <c r="HS107" s="8"/>
      <c r="HT107" s="8"/>
      <c r="HU107" s="8"/>
      <c r="HV107" s="8"/>
      <c r="HW107" s="8"/>
      <c r="HX107" s="8"/>
      <c r="HY107" s="8"/>
      <c r="HZ107" s="8"/>
      <c r="IA107" s="8"/>
      <c r="IB107" s="8"/>
      <c r="IC107" s="8"/>
      <c r="ID107" s="8"/>
      <c r="IE107" s="8"/>
      <c r="IF107" s="8"/>
      <c r="IG107" s="8"/>
      <c r="IH107" s="8"/>
      <c r="II107" s="8"/>
      <c r="IJ107" s="8"/>
      <c r="IK107" s="8"/>
      <c r="IL107" s="8"/>
      <c r="IM107" s="8"/>
    </row>
    <row r="108" spans="1:247" x14ac:dyDescent="0.25">
      <c r="A108" s="4">
        <v>4231</v>
      </c>
      <c r="B108" s="9" t="s">
        <v>120</v>
      </c>
      <c r="C108" s="10" t="s">
        <v>6</v>
      </c>
      <c r="D108" s="1721" t="s">
        <v>3060</v>
      </c>
      <c r="E108" s="1728"/>
      <c r="F108" s="1723">
        <f t="shared" si="0"/>
        <v>1.0209999999999999</v>
      </c>
      <c r="G108" s="1729"/>
      <c r="H108" s="1728"/>
      <c r="I108" s="1730"/>
      <c r="J108" s="1730"/>
      <c r="K108" s="1730"/>
      <c r="L108" s="1730"/>
      <c r="M108" s="1730"/>
      <c r="N108" s="1729"/>
      <c r="O108" s="1731"/>
      <c r="P108" s="1728"/>
      <c r="Q108" s="1729"/>
      <c r="R108" s="1732">
        <f t="shared" si="1"/>
        <v>1.0209999999999999</v>
      </c>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c r="ED108" s="8"/>
      <c r="EE108" s="8"/>
      <c r="EF108" s="8"/>
      <c r="EG108" s="8"/>
      <c r="EH108" s="8"/>
      <c r="EI108" s="8"/>
      <c r="EJ108" s="8"/>
      <c r="EK108" s="8"/>
      <c r="EL108" s="8"/>
      <c r="EM108" s="8"/>
      <c r="EN108" s="8"/>
      <c r="EO108" s="8"/>
      <c r="EP108" s="8"/>
      <c r="EQ108" s="8"/>
      <c r="ER108" s="8"/>
      <c r="ES108" s="8"/>
      <c r="ET108" s="8"/>
      <c r="EU108" s="8"/>
      <c r="EV108" s="8"/>
      <c r="EW108" s="8"/>
      <c r="EX108" s="8"/>
      <c r="EY108" s="8"/>
      <c r="EZ108" s="8"/>
      <c r="FA108" s="8"/>
      <c r="FB108" s="8"/>
      <c r="FC108" s="8"/>
      <c r="FD108" s="8"/>
      <c r="FE108" s="8"/>
      <c r="FF108" s="8"/>
      <c r="FG108" s="8"/>
      <c r="FH108" s="8"/>
      <c r="FI108" s="8"/>
      <c r="FJ108" s="8"/>
      <c r="FK108" s="8"/>
      <c r="FL108" s="8"/>
      <c r="FM108" s="8"/>
      <c r="FN108" s="8"/>
      <c r="FO108" s="8"/>
      <c r="FP108" s="8"/>
      <c r="FQ108" s="8"/>
      <c r="FR108" s="8"/>
      <c r="FS108" s="8"/>
      <c r="FT108" s="8"/>
      <c r="FU108" s="8"/>
      <c r="FV108" s="8"/>
      <c r="FW108" s="8"/>
      <c r="FX108" s="8"/>
      <c r="FY108" s="8"/>
      <c r="FZ108" s="8"/>
      <c r="GA108" s="8"/>
      <c r="GB108" s="8"/>
      <c r="GC108" s="8"/>
      <c r="GD108" s="8"/>
      <c r="GE108" s="8"/>
      <c r="GF108" s="8"/>
      <c r="GG108" s="8"/>
      <c r="GH108" s="8"/>
      <c r="GI108" s="8"/>
      <c r="GJ108" s="8"/>
      <c r="GK108" s="8"/>
      <c r="GL108" s="8"/>
      <c r="GM108" s="8"/>
      <c r="GN108" s="8"/>
      <c r="GO108" s="8"/>
      <c r="GP108" s="8"/>
      <c r="GQ108" s="8"/>
      <c r="GR108" s="8"/>
      <c r="GS108" s="8"/>
      <c r="GT108" s="8"/>
      <c r="GU108" s="8"/>
      <c r="GV108" s="8"/>
      <c r="GW108" s="8"/>
      <c r="GX108" s="8"/>
      <c r="GY108" s="8"/>
      <c r="GZ108" s="8"/>
      <c r="HA108" s="8"/>
      <c r="HB108" s="8"/>
      <c r="HC108" s="8"/>
      <c r="HD108" s="8"/>
      <c r="HE108" s="8"/>
      <c r="HF108" s="8"/>
      <c r="HG108" s="8"/>
      <c r="HH108" s="8"/>
      <c r="HI108" s="8"/>
      <c r="HJ108" s="8"/>
      <c r="HK108" s="8"/>
      <c r="HL108" s="8"/>
      <c r="HM108" s="8"/>
      <c r="HN108" s="8"/>
      <c r="HO108" s="8"/>
      <c r="HP108" s="8"/>
      <c r="HQ108" s="8"/>
      <c r="HR108" s="8"/>
      <c r="HS108" s="8"/>
      <c r="HT108" s="8"/>
      <c r="HU108" s="8"/>
      <c r="HV108" s="8"/>
      <c r="HW108" s="8"/>
      <c r="HX108" s="8"/>
      <c r="HY108" s="8"/>
      <c r="HZ108" s="8"/>
      <c r="IA108" s="8"/>
      <c r="IB108" s="8"/>
      <c r="IC108" s="8"/>
      <c r="ID108" s="8"/>
      <c r="IE108" s="8"/>
      <c r="IF108" s="8"/>
      <c r="IG108" s="8"/>
      <c r="IH108" s="8"/>
      <c r="II108" s="8"/>
      <c r="IJ108" s="8"/>
      <c r="IK108" s="8"/>
      <c r="IL108" s="8"/>
      <c r="IM108" s="8"/>
    </row>
    <row r="109" spans="1:247" x14ac:dyDescent="0.25">
      <c r="A109" s="4">
        <v>4251</v>
      </c>
      <c r="B109" s="9" t="s">
        <v>121</v>
      </c>
      <c r="C109" s="10" t="s">
        <v>3</v>
      </c>
      <c r="D109" s="1721" t="s">
        <v>3060</v>
      </c>
      <c r="E109" s="1728"/>
      <c r="F109" s="1723">
        <f t="shared" si="0"/>
        <v>1.0209999999999999</v>
      </c>
      <c r="G109" s="1729"/>
      <c r="H109" s="1728"/>
      <c r="I109" s="1730"/>
      <c r="J109" s="1730"/>
      <c r="K109" s="1730"/>
      <c r="L109" s="1730"/>
      <c r="M109" s="1730"/>
      <c r="N109" s="1729"/>
      <c r="O109" s="1731"/>
      <c r="P109" s="1728">
        <f t="shared" ref="P109:P125" si="27">+$P$3</f>
        <v>1.032</v>
      </c>
      <c r="Q109" s="1729">
        <f t="shared" ref="Q109:Q125" si="28">+$Q$3</f>
        <v>1.0349999999999999</v>
      </c>
      <c r="R109" s="1732">
        <f t="shared" si="1"/>
        <v>1.0905505199999999</v>
      </c>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c r="ED109" s="8"/>
      <c r="EE109" s="8"/>
      <c r="EF109" s="8"/>
      <c r="EG109" s="8"/>
      <c r="EH109" s="8"/>
      <c r="EI109" s="8"/>
      <c r="EJ109" s="8"/>
      <c r="EK109" s="8"/>
      <c r="EL109" s="8"/>
      <c r="EM109" s="8"/>
      <c r="EN109" s="8"/>
      <c r="EO109" s="8"/>
      <c r="EP109" s="8"/>
      <c r="EQ109" s="8"/>
      <c r="ER109" s="8"/>
      <c r="ES109" s="8"/>
      <c r="ET109" s="8"/>
      <c r="EU109" s="8"/>
      <c r="EV109" s="8"/>
      <c r="EW109" s="8"/>
      <c r="EX109" s="8"/>
      <c r="EY109" s="8"/>
      <c r="EZ109" s="8"/>
      <c r="FA109" s="8"/>
      <c r="FB109" s="8"/>
      <c r="FC109" s="8"/>
      <c r="FD109" s="8"/>
      <c r="FE109" s="8"/>
      <c r="FF109" s="8"/>
      <c r="FG109" s="8"/>
      <c r="FH109" s="8"/>
      <c r="FI109" s="8"/>
      <c r="FJ109" s="8"/>
      <c r="FK109" s="8"/>
      <c r="FL109" s="8"/>
      <c r="FM109" s="8"/>
      <c r="FN109" s="8"/>
      <c r="FO109" s="8"/>
      <c r="FP109" s="8"/>
      <c r="FQ109" s="8"/>
      <c r="FR109" s="8"/>
      <c r="FS109" s="8"/>
      <c r="FT109" s="8"/>
      <c r="FU109" s="8"/>
      <c r="FV109" s="8"/>
      <c r="FW109" s="8"/>
      <c r="FX109" s="8"/>
      <c r="FY109" s="8"/>
      <c r="FZ109" s="8"/>
      <c r="GA109" s="8"/>
      <c r="GB109" s="8"/>
      <c r="GC109" s="8"/>
      <c r="GD109" s="8"/>
      <c r="GE109" s="8"/>
      <c r="GF109" s="8"/>
      <c r="GG109" s="8"/>
      <c r="GH109" s="8"/>
      <c r="GI109" s="8"/>
      <c r="GJ109" s="8"/>
      <c r="GK109" s="8"/>
      <c r="GL109" s="8"/>
      <c r="GM109" s="8"/>
      <c r="GN109" s="8"/>
      <c r="GO109" s="8"/>
      <c r="GP109" s="8"/>
      <c r="GQ109" s="8"/>
      <c r="GR109" s="8"/>
      <c r="GS109" s="8"/>
      <c r="GT109" s="8"/>
      <c r="GU109" s="8"/>
      <c r="GV109" s="8"/>
      <c r="GW109" s="8"/>
      <c r="GX109" s="8"/>
      <c r="GY109" s="8"/>
      <c r="GZ109" s="8"/>
      <c r="HA109" s="8"/>
      <c r="HB109" s="8"/>
      <c r="HC109" s="8"/>
      <c r="HD109" s="8"/>
      <c r="HE109" s="8"/>
      <c r="HF109" s="8"/>
      <c r="HG109" s="8"/>
      <c r="HH109" s="8"/>
      <c r="HI109" s="8"/>
      <c r="HJ109" s="8"/>
      <c r="HK109" s="8"/>
      <c r="HL109" s="8"/>
      <c r="HM109" s="8"/>
      <c r="HN109" s="8"/>
      <c r="HO109" s="8"/>
      <c r="HP109" s="8"/>
      <c r="HQ109" s="8"/>
      <c r="HR109" s="8"/>
      <c r="HS109" s="8"/>
      <c r="HT109" s="8"/>
      <c r="HU109" s="8"/>
      <c r="HV109" s="8"/>
      <c r="HW109" s="8"/>
      <c r="HX109" s="8"/>
      <c r="HY109" s="8"/>
      <c r="HZ109" s="8"/>
      <c r="IA109" s="8"/>
      <c r="IB109" s="8"/>
      <c r="IC109" s="8"/>
      <c r="ID109" s="8"/>
      <c r="IE109" s="8"/>
      <c r="IF109" s="8"/>
      <c r="IG109" s="8"/>
      <c r="IH109" s="8"/>
      <c r="II109" s="8"/>
      <c r="IJ109" s="8"/>
      <c r="IK109" s="8"/>
      <c r="IL109" s="8"/>
      <c r="IM109" s="8"/>
    </row>
    <row r="110" spans="1:247" x14ac:dyDescent="0.25">
      <c r="A110" s="4">
        <v>4311</v>
      </c>
      <c r="B110" s="9" t="s">
        <v>122</v>
      </c>
      <c r="C110" s="10" t="s">
        <v>9</v>
      </c>
      <c r="D110" s="1721" t="s">
        <v>3062</v>
      </c>
      <c r="E110" s="1728"/>
      <c r="F110" s="1723">
        <f t="shared" si="0"/>
        <v>1.0209999999999999</v>
      </c>
      <c r="G110" s="1729">
        <f>+$G$3</f>
        <v>1.0269999999999999</v>
      </c>
      <c r="H110" s="1728">
        <f>+$H$3</f>
        <v>1.0029999999999999</v>
      </c>
      <c r="I110" s="1730">
        <f>+$I$3</f>
        <v>1.0289999999999999</v>
      </c>
      <c r="J110" s="1730">
        <f>+$J$3</f>
        <v>1.0049999999999999</v>
      </c>
      <c r="K110" s="1730"/>
      <c r="L110" s="1730"/>
      <c r="M110" s="1730">
        <f>+$M$3</f>
        <v>1.0029999999999999</v>
      </c>
      <c r="N110" s="1729">
        <f>+$N$3</f>
        <v>1.0029999999999999</v>
      </c>
      <c r="O110" s="1731"/>
      <c r="P110" s="1728">
        <f t="shared" si="27"/>
        <v>1.032</v>
      </c>
      <c r="Q110" s="1729">
        <f t="shared" si="28"/>
        <v>1.0349999999999999</v>
      </c>
      <c r="R110" s="1732">
        <f t="shared" si="1"/>
        <v>1.168693068754227</v>
      </c>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c r="ED110" s="8"/>
      <c r="EE110" s="8"/>
      <c r="EF110" s="8"/>
      <c r="EG110" s="8"/>
      <c r="EH110" s="8"/>
      <c r="EI110" s="8"/>
      <c r="EJ110" s="8"/>
      <c r="EK110" s="8"/>
      <c r="EL110" s="8"/>
      <c r="EM110" s="8"/>
      <c r="EN110" s="8"/>
      <c r="EO110" s="8"/>
      <c r="EP110" s="8"/>
      <c r="EQ110" s="8"/>
      <c r="ER110" s="8"/>
      <c r="ES110" s="8"/>
      <c r="ET110" s="8"/>
      <c r="EU110" s="8"/>
      <c r="EV110" s="8"/>
      <c r="EW110" s="8"/>
      <c r="EX110" s="8"/>
      <c r="EY110" s="8"/>
      <c r="EZ110" s="8"/>
      <c r="FA110" s="8"/>
      <c r="FB110" s="8"/>
      <c r="FC110" s="8"/>
      <c r="FD110" s="8"/>
      <c r="FE110" s="8"/>
      <c r="FF110" s="8"/>
      <c r="FG110" s="8"/>
      <c r="FH110" s="8"/>
      <c r="FI110" s="8"/>
      <c r="FJ110" s="8"/>
      <c r="FK110" s="8"/>
      <c r="FL110" s="8"/>
      <c r="FM110" s="8"/>
      <c r="FN110" s="8"/>
      <c r="FO110" s="8"/>
      <c r="FP110" s="8"/>
      <c r="FQ110" s="8"/>
      <c r="FR110" s="8"/>
      <c r="FS110" s="8"/>
      <c r="FT110" s="8"/>
      <c r="FU110" s="8"/>
      <c r="FV110" s="8"/>
      <c r="FW110" s="8"/>
      <c r="FX110" s="8"/>
      <c r="FY110" s="8"/>
      <c r="FZ110" s="8"/>
      <c r="GA110" s="8"/>
      <c r="GB110" s="8"/>
      <c r="GC110" s="8"/>
      <c r="GD110" s="8"/>
      <c r="GE110" s="8"/>
      <c r="GF110" s="8"/>
      <c r="GG110" s="8"/>
      <c r="GH110" s="8"/>
      <c r="GI110" s="8"/>
      <c r="GJ110" s="8"/>
      <c r="GK110" s="8"/>
      <c r="GL110" s="8"/>
      <c r="GM110" s="8"/>
      <c r="GN110" s="8"/>
      <c r="GO110" s="8"/>
      <c r="GP110" s="8"/>
      <c r="GQ110" s="8"/>
      <c r="GR110" s="8"/>
      <c r="GS110" s="8"/>
      <c r="GT110" s="8"/>
      <c r="GU110" s="8"/>
      <c r="GV110" s="8"/>
      <c r="GW110" s="8"/>
      <c r="GX110" s="8"/>
      <c r="GY110" s="8"/>
      <c r="GZ110" s="8"/>
      <c r="HA110" s="8"/>
      <c r="HB110" s="8"/>
      <c r="HC110" s="8"/>
      <c r="HD110" s="8"/>
      <c r="HE110" s="8"/>
      <c r="HF110" s="8"/>
      <c r="HG110" s="8"/>
      <c r="HH110" s="8"/>
      <c r="HI110" s="8"/>
      <c r="HJ110" s="8"/>
      <c r="HK110" s="8"/>
      <c r="HL110" s="8"/>
      <c r="HM110" s="8"/>
      <c r="HN110" s="8"/>
      <c r="HO110" s="8"/>
      <c r="HP110" s="8"/>
      <c r="HQ110" s="8"/>
      <c r="HR110" s="8"/>
      <c r="HS110" s="8"/>
      <c r="HT110" s="8"/>
      <c r="HU110" s="8"/>
      <c r="HV110" s="8"/>
      <c r="HW110" s="8"/>
      <c r="HX110" s="8"/>
      <c r="HY110" s="8"/>
      <c r="HZ110" s="8"/>
      <c r="IA110" s="8"/>
      <c r="IB110" s="8"/>
      <c r="IC110" s="8"/>
      <c r="ID110" s="8"/>
      <c r="IE110" s="8"/>
      <c r="IF110" s="8"/>
      <c r="IG110" s="8"/>
      <c r="IH110" s="8"/>
      <c r="II110" s="8"/>
      <c r="IJ110" s="8"/>
      <c r="IK110" s="8"/>
      <c r="IL110" s="8"/>
      <c r="IM110" s="8"/>
    </row>
    <row r="111" spans="1:247" x14ac:dyDescent="0.25">
      <c r="A111" s="4">
        <v>4321</v>
      </c>
      <c r="B111" s="9" t="s">
        <v>123</v>
      </c>
      <c r="C111" s="10" t="s">
        <v>9</v>
      </c>
      <c r="D111" s="1721" t="s">
        <v>3062</v>
      </c>
      <c r="E111" s="1728"/>
      <c r="F111" s="1723">
        <f t="shared" si="0"/>
        <v>1.0209999999999999</v>
      </c>
      <c r="G111" s="1729">
        <f>+$G$3</f>
        <v>1.0269999999999999</v>
      </c>
      <c r="H111" s="1728"/>
      <c r="I111" s="1730">
        <f>+$I$3</f>
        <v>1.0289999999999999</v>
      </c>
      <c r="J111" s="1730">
        <f>+$J$3</f>
        <v>1.0049999999999999</v>
      </c>
      <c r="K111" s="1730"/>
      <c r="L111" s="1730"/>
      <c r="M111" s="1730">
        <f>+$M$3</f>
        <v>1.0029999999999999</v>
      </c>
      <c r="N111" s="1729">
        <f>+$N$3</f>
        <v>1.0029999999999999</v>
      </c>
      <c r="O111" s="1731"/>
      <c r="P111" s="1728">
        <f t="shared" si="27"/>
        <v>1.032</v>
      </c>
      <c r="Q111" s="1729">
        <f t="shared" si="28"/>
        <v>1.0349999999999999</v>
      </c>
      <c r="R111" s="1732">
        <f t="shared" si="1"/>
        <v>1.1651974763252515</v>
      </c>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c r="ED111" s="8"/>
      <c r="EE111" s="8"/>
      <c r="EF111" s="8"/>
      <c r="EG111" s="8"/>
      <c r="EH111" s="8"/>
      <c r="EI111" s="8"/>
      <c r="EJ111" s="8"/>
      <c r="EK111" s="8"/>
      <c r="EL111" s="8"/>
      <c r="EM111" s="8"/>
      <c r="EN111" s="8"/>
      <c r="EO111" s="8"/>
      <c r="EP111" s="8"/>
      <c r="EQ111" s="8"/>
      <c r="ER111" s="8"/>
      <c r="ES111" s="8"/>
      <c r="ET111" s="8"/>
      <c r="EU111" s="8"/>
      <c r="EV111" s="8"/>
      <c r="EW111" s="8"/>
      <c r="EX111" s="8"/>
      <c r="EY111" s="8"/>
      <c r="EZ111" s="8"/>
      <c r="FA111" s="8"/>
      <c r="FB111" s="8"/>
      <c r="FC111" s="8"/>
      <c r="FD111" s="8"/>
      <c r="FE111" s="8"/>
      <c r="FF111" s="8"/>
      <c r="FG111" s="8"/>
      <c r="FH111" s="8"/>
      <c r="FI111" s="8"/>
      <c r="FJ111" s="8"/>
      <c r="FK111" s="8"/>
      <c r="FL111" s="8"/>
      <c r="FM111" s="8"/>
      <c r="FN111" s="8"/>
      <c r="FO111" s="8"/>
      <c r="FP111" s="8"/>
      <c r="FQ111" s="8"/>
      <c r="FR111" s="8"/>
      <c r="FS111" s="8"/>
      <c r="FT111" s="8"/>
      <c r="FU111" s="8"/>
      <c r="FV111" s="8"/>
      <c r="FW111" s="8"/>
      <c r="FX111" s="8"/>
      <c r="FY111" s="8"/>
      <c r="FZ111" s="8"/>
      <c r="GA111" s="8"/>
      <c r="GB111" s="8"/>
      <c r="GC111" s="8"/>
      <c r="GD111" s="8"/>
      <c r="GE111" s="8"/>
      <c r="GF111" s="8"/>
      <c r="GG111" s="8"/>
      <c r="GH111" s="8"/>
      <c r="GI111" s="8"/>
      <c r="GJ111" s="8"/>
      <c r="GK111" s="8"/>
      <c r="GL111" s="8"/>
      <c r="GM111" s="8"/>
      <c r="GN111" s="8"/>
      <c r="GO111" s="8"/>
      <c r="GP111" s="8"/>
      <c r="GQ111" s="8"/>
      <c r="GR111" s="8"/>
      <c r="GS111" s="8"/>
      <c r="GT111" s="8"/>
      <c r="GU111" s="8"/>
      <c r="GV111" s="8"/>
      <c r="GW111" s="8"/>
      <c r="GX111" s="8"/>
      <c r="GY111" s="8"/>
      <c r="GZ111" s="8"/>
      <c r="HA111" s="8"/>
      <c r="HB111" s="8"/>
      <c r="HC111" s="8"/>
      <c r="HD111" s="8"/>
      <c r="HE111" s="8"/>
      <c r="HF111" s="8"/>
      <c r="HG111" s="8"/>
      <c r="HH111" s="8"/>
      <c r="HI111" s="8"/>
      <c r="HJ111" s="8"/>
      <c r="HK111" s="8"/>
      <c r="HL111" s="8"/>
      <c r="HM111" s="8"/>
      <c r="HN111" s="8"/>
      <c r="HO111" s="8"/>
      <c r="HP111" s="8"/>
      <c r="HQ111" s="8"/>
      <c r="HR111" s="8"/>
      <c r="HS111" s="8"/>
      <c r="HT111" s="8"/>
      <c r="HU111" s="8"/>
      <c r="HV111" s="8"/>
      <c r="HW111" s="8"/>
      <c r="HX111" s="8"/>
      <c r="HY111" s="8"/>
      <c r="HZ111" s="8"/>
      <c r="IA111" s="8"/>
      <c r="IB111" s="8"/>
      <c r="IC111" s="8"/>
      <c r="ID111" s="8"/>
      <c r="IE111" s="8"/>
      <c r="IF111" s="8"/>
      <c r="IG111" s="8"/>
      <c r="IH111" s="8"/>
      <c r="II111" s="8"/>
      <c r="IJ111" s="8"/>
      <c r="IK111" s="8"/>
      <c r="IL111" s="8"/>
      <c r="IM111" s="8"/>
    </row>
    <row r="112" spans="1:247" x14ac:dyDescent="0.25">
      <c r="A112" s="4">
        <v>4414</v>
      </c>
      <c r="B112" s="9" t="s">
        <v>124</v>
      </c>
      <c r="C112" s="10" t="s">
        <v>9</v>
      </c>
      <c r="D112" s="1721" t="s">
        <v>3062</v>
      </c>
      <c r="E112" s="1728"/>
      <c r="F112" s="1723">
        <f t="shared" si="0"/>
        <v>1.0209999999999999</v>
      </c>
      <c r="G112" s="1729">
        <f>+$G$3</f>
        <v>1.0269999999999999</v>
      </c>
      <c r="H112" s="1728">
        <f>+$H$3</f>
        <v>1.0029999999999999</v>
      </c>
      <c r="I112" s="1730">
        <f>+$I$3</f>
        <v>1.0289999999999999</v>
      </c>
      <c r="J112" s="1730">
        <f>+$J$3</f>
        <v>1.0049999999999999</v>
      </c>
      <c r="K112" s="1730"/>
      <c r="L112" s="1730"/>
      <c r="M112" s="1730">
        <f>+$M$3</f>
        <v>1.0029999999999999</v>
      </c>
      <c r="N112" s="1729">
        <f>+$N$3</f>
        <v>1.0029999999999999</v>
      </c>
      <c r="O112" s="1731"/>
      <c r="P112" s="1728">
        <f t="shared" si="27"/>
        <v>1.032</v>
      </c>
      <c r="Q112" s="1729">
        <f t="shared" si="28"/>
        <v>1.0349999999999999</v>
      </c>
      <c r="R112" s="1732">
        <f t="shared" si="1"/>
        <v>1.168693068754227</v>
      </c>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c r="ED112" s="8"/>
      <c r="EE112" s="8"/>
      <c r="EF112" s="8"/>
      <c r="EG112" s="8"/>
      <c r="EH112" s="8"/>
      <c r="EI112" s="8"/>
      <c r="EJ112" s="8"/>
      <c r="EK112" s="8"/>
      <c r="EL112" s="8"/>
      <c r="EM112" s="8"/>
      <c r="EN112" s="8"/>
      <c r="EO112" s="8"/>
      <c r="EP112" s="8"/>
      <c r="EQ112" s="8"/>
      <c r="ER112" s="8"/>
      <c r="ES112" s="8"/>
      <c r="ET112" s="8"/>
      <c r="EU112" s="8"/>
      <c r="EV112" s="8"/>
      <c r="EW112" s="8"/>
      <c r="EX112" s="8"/>
      <c r="EY112" s="8"/>
      <c r="EZ112" s="8"/>
      <c r="FA112" s="8"/>
      <c r="FB112" s="8"/>
      <c r="FC112" s="8"/>
      <c r="FD112" s="8"/>
      <c r="FE112" s="8"/>
      <c r="FF112" s="8"/>
      <c r="FG112" s="8"/>
      <c r="FH112" s="8"/>
      <c r="FI112" s="8"/>
      <c r="FJ112" s="8"/>
      <c r="FK112" s="8"/>
      <c r="FL112" s="8"/>
      <c r="FM112" s="8"/>
      <c r="FN112" s="8"/>
      <c r="FO112" s="8"/>
      <c r="FP112" s="8"/>
      <c r="FQ112" s="8"/>
      <c r="FR112" s="8"/>
      <c r="FS112" s="8"/>
      <c r="FT112" s="8"/>
      <c r="FU112" s="8"/>
      <c r="FV112" s="8"/>
      <c r="FW112" s="8"/>
      <c r="FX112" s="8"/>
      <c r="FY112" s="8"/>
      <c r="FZ112" s="8"/>
      <c r="GA112" s="8"/>
      <c r="GB112" s="8"/>
      <c r="GC112" s="8"/>
      <c r="GD112" s="8"/>
      <c r="GE112" s="8"/>
      <c r="GF112" s="8"/>
      <c r="GG112" s="8"/>
      <c r="GH112" s="8"/>
      <c r="GI112" s="8"/>
      <c r="GJ112" s="8"/>
      <c r="GK112" s="8"/>
      <c r="GL112" s="8"/>
      <c r="GM112" s="8"/>
      <c r="GN112" s="8"/>
      <c r="GO112" s="8"/>
      <c r="GP112" s="8"/>
      <c r="GQ112" s="8"/>
      <c r="GR112" s="8"/>
      <c r="GS112" s="8"/>
      <c r="GT112" s="8"/>
      <c r="GU112" s="8"/>
      <c r="GV112" s="8"/>
      <c r="GW112" s="8"/>
      <c r="GX112" s="8"/>
      <c r="GY112" s="8"/>
      <c r="GZ112" s="8"/>
      <c r="HA112" s="8"/>
      <c r="HB112" s="8"/>
      <c r="HC112" s="8"/>
      <c r="HD112" s="8"/>
      <c r="HE112" s="8"/>
      <c r="HF112" s="8"/>
      <c r="HG112" s="8"/>
      <c r="HH112" s="8"/>
      <c r="HI112" s="8"/>
      <c r="HJ112" s="8"/>
      <c r="HK112" s="8"/>
      <c r="HL112" s="8"/>
      <c r="HM112" s="8"/>
      <c r="HN112" s="8"/>
      <c r="HO112" s="8"/>
      <c r="HP112" s="8"/>
      <c r="HQ112" s="8"/>
      <c r="HR112" s="8"/>
      <c r="HS112" s="8"/>
      <c r="HT112" s="8"/>
      <c r="HU112" s="8"/>
      <c r="HV112" s="8"/>
      <c r="HW112" s="8"/>
      <c r="HX112" s="8"/>
      <c r="HY112" s="8"/>
      <c r="HZ112" s="8"/>
      <c r="IA112" s="8"/>
      <c r="IB112" s="8"/>
      <c r="IC112" s="8"/>
      <c r="ID112" s="8"/>
      <c r="IE112" s="8"/>
      <c r="IF112" s="8"/>
      <c r="IG112" s="8"/>
      <c r="IH112" s="8"/>
      <c r="II112" s="8"/>
      <c r="IJ112" s="8"/>
      <c r="IK112" s="8"/>
      <c r="IL112" s="8"/>
      <c r="IM112" s="8"/>
    </row>
    <row r="113" spans="1:247" x14ac:dyDescent="0.25">
      <c r="A113" s="4">
        <v>4424</v>
      </c>
      <c r="B113" s="9" t="s">
        <v>125</v>
      </c>
      <c r="C113" s="10" t="s">
        <v>9</v>
      </c>
      <c r="D113" s="1721" t="s">
        <v>3062</v>
      </c>
      <c r="E113" s="1728"/>
      <c r="F113" s="1723">
        <f t="shared" si="0"/>
        <v>1.0209999999999999</v>
      </c>
      <c r="G113" s="1729">
        <f>+$G$3</f>
        <v>1.0269999999999999</v>
      </c>
      <c r="H113" s="1728">
        <f>+$H$3</f>
        <v>1.0029999999999999</v>
      </c>
      <c r="I113" s="1730">
        <f>+$I$3</f>
        <v>1.0289999999999999</v>
      </c>
      <c r="J113" s="1730">
        <f>+$J$3</f>
        <v>1.0049999999999999</v>
      </c>
      <c r="K113" s="1730"/>
      <c r="L113" s="1730"/>
      <c r="M113" s="1730">
        <f>+$M$3</f>
        <v>1.0029999999999999</v>
      </c>
      <c r="N113" s="1729">
        <f>+$N$3</f>
        <v>1.0029999999999999</v>
      </c>
      <c r="O113" s="1731"/>
      <c r="P113" s="1728">
        <f t="shared" si="27"/>
        <v>1.032</v>
      </c>
      <c r="Q113" s="1729">
        <f t="shared" si="28"/>
        <v>1.0349999999999999</v>
      </c>
      <c r="R113" s="1732">
        <f t="shared" si="1"/>
        <v>1.168693068754227</v>
      </c>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c r="ED113" s="8"/>
      <c r="EE113" s="8"/>
      <c r="EF113" s="8"/>
      <c r="EG113" s="8"/>
      <c r="EH113" s="8"/>
      <c r="EI113" s="8"/>
      <c r="EJ113" s="8"/>
      <c r="EK113" s="8"/>
      <c r="EL113" s="8"/>
      <c r="EM113" s="8"/>
      <c r="EN113" s="8"/>
      <c r="EO113" s="8"/>
      <c r="EP113" s="8"/>
      <c r="EQ113" s="8"/>
      <c r="ER113" s="8"/>
      <c r="ES113" s="8"/>
      <c r="ET113" s="8"/>
      <c r="EU113" s="8"/>
      <c r="EV113" s="8"/>
      <c r="EW113" s="8"/>
      <c r="EX113" s="8"/>
      <c r="EY113" s="8"/>
      <c r="EZ113" s="8"/>
      <c r="FA113" s="8"/>
      <c r="FB113" s="8"/>
      <c r="FC113" s="8"/>
      <c r="FD113" s="8"/>
      <c r="FE113" s="8"/>
      <c r="FF113" s="8"/>
      <c r="FG113" s="8"/>
      <c r="FH113" s="8"/>
      <c r="FI113" s="8"/>
      <c r="FJ113" s="8"/>
      <c r="FK113" s="8"/>
      <c r="FL113" s="8"/>
      <c r="FM113" s="8"/>
      <c r="FN113" s="8"/>
      <c r="FO113" s="8"/>
      <c r="FP113" s="8"/>
      <c r="FQ113" s="8"/>
      <c r="FR113" s="8"/>
      <c r="FS113" s="8"/>
      <c r="FT113" s="8"/>
      <c r="FU113" s="8"/>
      <c r="FV113" s="8"/>
      <c r="FW113" s="8"/>
      <c r="FX113" s="8"/>
      <c r="FY113" s="8"/>
      <c r="FZ113" s="8"/>
      <c r="GA113" s="8"/>
      <c r="GB113" s="8"/>
      <c r="GC113" s="8"/>
      <c r="GD113" s="8"/>
      <c r="GE113" s="8"/>
      <c r="GF113" s="8"/>
      <c r="GG113" s="8"/>
      <c r="GH113" s="8"/>
      <c r="GI113" s="8"/>
      <c r="GJ113" s="8"/>
      <c r="GK113" s="8"/>
      <c r="GL113" s="8"/>
      <c r="GM113" s="8"/>
      <c r="GN113" s="8"/>
      <c r="GO113" s="8"/>
      <c r="GP113" s="8"/>
      <c r="GQ113" s="8"/>
      <c r="GR113" s="8"/>
      <c r="GS113" s="8"/>
      <c r="GT113" s="8"/>
      <c r="GU113" s="8"/>
      <c r="GV113" s="8"/>
      <c r="GW113" s="8"/>
      <c r="GX113" s="8"/>
      <c r="GY113" s="8"/>
      <c r="GZ113" s="8"/>
      <c r="HA113" s="8"/>
      <c r="HB113" s="8"/>
      <c r="HC113" s="8"/>
      <c r="HD113" s="8"/>
      <c r="HE113" s="8"/>
      <c r="HF113" s="8"/>
      <c r="HG113" s="8"/>
      <c r="HH113" s="8"/>
      <c r="HI113" s="8"/>
      <c r="HJ113" s="8"/>
      <c r="HK113" s="8"/>
      <c r="HL113" s="8"/>
      <c r="HM113" s="8"/>
      <c r="HN113" s="8"/>
      <c r="HO113" s="8"/>
      <c r="HP113" s="8"/>
      <c r="HQ113" s="8"/>
      <c r="HR113" s="8"/>
      <c r="HS113" s="8"/>
      <c r="HT113" s="8"/>
      <c r="HU113" s="8"/>
      <c r="HV113" s="8"/>
      <c r="HW113" s="8"/>
      <c r="HX113" s="8"/>
      <c r="HY113" s="8"/>
      <c r="HZ113" s="8"/>
      <c r="IA113" s="8"/>
      <c r="IB113" s="8"/>
      <c r="IC113" s="8"/>
      <c r="ID113" s="8"/>
      <c r="IE113" s="8"/>
      <c r="IF113" s="8"/>
      <c r="IG113" s="8"/>
      <c r="IH113" s="8"/>
      <c r="II113" s="8"/>
      <c r="IJ113" s="8"/>
      <c r="IK113" s="8"/>
      <c r="IL113" s="8"/>
      <c r="IM113" s="8"/>
    </row>
    <row r="114" spans="1:247" x14ac:dyDescent="0.25">
      <c r="A114" s="4">
        <v>4425</v>
      </c>
      <c r="B114" s="9" t="s">
        <v>126</v>
      </c>
      <c r="C114" s="10" t="s">
        <v>9</v>
      </c>
      <c r="D114" s="1721" t="s">
        <v>3062</v>
      </c>
      <c r="E114" s="1728"/>
      <c r="F114" s="1723">
        <f t="shared" si="0"/>
        <v>1.0209999999999999</v>
      </c>
      <c r="G114" s="1729">
        <f>+$G$3</f>
        <v>1.0269999999999999</v>
      </c>
      <c r="H114" s="1728"/>
      <c r="I114" s="1730"/>
      <c r="J114" s="1730">
        <f>+$J$3</f>
        <v>1.0049999999999999</v>
      </c>
      <c r="K114" s="1730"/>
      <c r="L114" s="1730"/>
      <c r="M114" s="1730"/>
      <c r="N114" s="1729"/>
      <c r="O114" s="1731"/>
      <c r="P114" s="1728">
        <f t="shared" si="27"/>
        <v>1.032</v>
      </c>
      <c r="Q114" s="1729">
        <f t="shared" si="28"/>
        <v>1.0349999999999999</v>
      </c>
      <c r="R114" s="1732">
        <f t="shared" si="1"/>
        <v>1.1255953609601996</v>
      </c>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c r="ED114" s="8"/>
      <c r="EE114" s="8"/>
      <c r="EF114" s="8"/>
      <c r="EG114" s="8"/>
      <c r="EH114" s="8"/>
      <c r="EI114" s="8"/>
      <c r="EJ114" s="8"/>
      <c r="EK114" s="8"/>
      <c r="EL114" s="8"/>
      <c r="EM114" s="8"/>
      <c r="EN114" s="8"/>
      <c r="EO114" s="8"/>
      <c r="EP114" s="8"/>
      <c r="EQ114" s="8"/>
      <c r="ER114" s="8"/>
      <c r="ES114" s="8"/>
      <c r="ET114" s="8"/>
      <c r="EU114" s="8"/>
      <c r="EV114" s="8"/>
      <c r="EW114" s="8"/>
      <c r="EX114" s="8"/>
      <c r="EY114" s="8"/>
      <c r="EZ114" s="8"/>
      <c r="FA114" s="8"/>
      <c r="FB114" s="8"/>
      <c r="FC114" s="8"/>
      <c r="FD114" s="8"/>
      <c r="FE114" s="8"/>
      <c r="FF114" s="8"/>
      <c r="FG114" s="8"/>
      <c r="FH114" s="8"/>
      <c r="FI114" s="8"/>
      <c r="FJ114" s="8"/>
      <c r="FK114" s="8"/>
      <c r="FL114" s="8"/>
      <c r="FM114" s="8"/>
      <c r="FN114" s="8"/>
      <c r="FO114" s="8"/>
      <c r="FP114" s="8"/>
      <c r="FQ114" s="8"/>
      <c r="FR114" s="8"/>
      <c r="FS114" s="8"/>
      <c r="FT114" s="8"/>
      <c r="FU114" s="8"/>
      <c r="FV114" s="8"/>
      <c r="FW114" s="8"/>
      <c r="FX114" s="8"/>
      <c r="FY114" s="8"/>
      <c r="FZ114" s="8"/>
      <c r="GA114" s="8"/>
      <c r="GB114" s="8"/>
      <c r="GC114" s="8"/>
      <c r="GD114" s="8"/>
      <c r="GE114" s="8"/>
      <c r="GF114" s="8"/>
      <c r="GG114" s="8"/>
      <c r="GH114" s="8"/>
      <c r="GI114" s="8"/>
      <c r="GJ114" s="8"/>
      <c r="GK114" s="8"/>
      <c r="GL114" s="8"/>
      <c r="GM114" s="8"/>
      <c r="GN114" s="8"/>
      <c r="GO114" s="8"/>
      <c r="GP114" s="8"/>
      <c r="GQ114" s="8"/>
      <c r="GR114" s="8"/>
      <c r="GS114" s="8"/>
      <c r="GT114" s="8"/>
      <c r="GU114" s="8"/>
      <c r="GV114" s="8"/>
      <c r="GW114" s="8"/>
      <c r="GX114" s="8"/>
      <c r="GY114" s="8"/>
      <c r="GZ114" s="8"/>
      <c r="HA114" s="8"/>
      <c r="HB114" s="8"/>
      <c r="HC114" s="8"/>
      <c r="HD114" s="8"/>
      <c r="HE114" s="8"/>
      <c r="HF114" s="8"/>
      <c r="HG114" s="8"/>
      <c r="HH114" s="8"/>
      <c r="HI114" s="8"/>
      <c r="HJ114" s="8"/>
      <c r="HK114" s="8"/>
      <c r="HL114" s="8"/>
      <c r="HM114" s="8"/>
      <c r="HN114" s="8"/>
      <c r="HO114" s="8"/>
      <c r="HP114" s="8"/>
      <c r="HQ114" s="8"/>
      <c r="HR114" s="8"/>
      <c r="HS114" s="8"/>
      <c r="HT114" s="8"/>
      <c r="HU114" s="8"/>
      <c r="HV114" s="8"/>
      <c r="HW114" s="8"/>
      <c r="HX114" s="8"/>
      <c r="HY114" s="8"/>
      <c r="HZ114" s="8"/>
      <c r="IA114" s="8"/>
      <c r="IB114" s="8"/>
      <c r="IC114" s="8"/>
      <c r="ID114" s="8"/>
      <c r="IE114" s="8"/>
      <c r="IF114" s="8"/>
      <c r="IG114" s="8"/>
      <c r="IH114" s="8"/>
      <c r="II114" s="8"/>
      <c r="IJ114" s="8"/>
      <c r="IK114" s="8"/>
      <c r="IL114" s="8"/>
      <c r="IM114" s="8"/>
    </row>
    <row r="115" spans="1:247" x14ac:dyDescent="0.25">
      <c r="A115" s="4">
        <v>4426</v>
      </c>
      <c r="B115" s="9" t="s">
        <v>127</v>
      </c>
      <c r="C115" s="10" t="s">
        <v>9</v>
      </c>
      <c r="D115" s="1721" t="s">
        <v>3062</v>
      </c>
      <c r="E115" s="1728"/>
      <c r="F115" s="1723">
        <f t="shared" si="0"/>
        <v>1.0209999999999999</v>
      </c>
      <c r="G115" s="1729"/>
      <c r="H115" s="1728"/>
      <c r="I115" s="1730"/>
      <c r="J115" s="1730"/>
      <c r="K115" s="1730"/>
      <c r="L115" s="1730"/>
      <c r="M115" s="1730"/>
      <c r="N115" s="1729"/>
      <c r="O115" s="1731"/>
      <c r="P115" s="1728">
        <f t="shared" si="27"/>
        <v>1.032</v>
      </c>
      <c r="Q115" s="1729">
        <f t="shared" si="28"/>
        <v>1.0349999999999999</v>
      </c>
      <c r="R115" s="1732">
        <f t="shared" si="1"/>
        <v>1.0905505199999999</v>
      </c>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c r="ED115" s="8"/>
      <c r="EE115" s="8"/>
      <c r="EF115" s="8"/>
      <c r="EG115" s="8"/>
      <c r="EH115" s="8"/>
      <c r="EI115" s="8"/>
      <c r="EJ115" s="8"/>
      <c r="EK115" s="8"/>
      <c r="EL115" s="8"/>
      <c r="EM115" s="8"/>
      <c r="EN115" s="8"/>
      <c r="EO115" s="8"/>
      <c r="EP115" s="8"/>
      <c r="EQ115" s="8"/>
      <c r="ER115" s="8"/>
      <c r="ES115" s="8"/>
      <c r="ET115" s="8"/>
      <c r="EU115" s="8"/>
      <c r="EV115" s="8"/>
      <c r="EW115" s="8"/>
      <c r="EX115" s="8"/>
      <c r="EY115" s="8"/>
      <c r="EZ115" s="8"/>
      <c r="FA115" s="8"/>
      <c r="FB115" s="8"/>
      <c r="FC115" s="8"/>
      <c r="FD115" s="8"/>
      <c r="FE115" s="8"/>
      <c r="FF115" s="8"/>
      <c r="FG115" s="8"/>
      <c r="FH115" s="8"/>
      <c r="FI115" s="8"/>
      <c r="FJ115" s="8"/>
      <c r="FK115" s="8"/>
      <c r="FL115" s="8"/>
      <c r="FM115" s="8"/>
      <c r="FN115" s="8"/>
      <c r="FO115" s="8"/>
      <c r="FP115" s="8"/>
      <c r="FQ115" s="8"/>
      <c r="FR115" s="8"/>
      <c r="FS115" s="8"/>
      <c r="FT115" s="8"/>
      <c r="FU115" s="8"/>
      <c r="FV115" s="8"/>
      <c r="FW115" s="8"/>
      <c r="FX115" s="8"/>
      <c r="FY115" s="8"/>
      <c r="FZ115" s="8"/>
      <c r="GA115" s="8"/>
      <c r="GB115" s="8"/>
      <c r="GC115" s="8"/>
      <c r="GD115" s="8"/>
      <c r="GE115" s="8"/>
      <c r="GF115" s="8"/>
      <c r="GG115" s="8"/>
      <c r="GH115" s="8"/>
      <c r="GI115" s="8"/>
      <c r="GJ115" s="8"/>
      <c r="GK115" s="8"/>
      <c r="GL115" s="8"/>
      <c r="GM115" s="8"/>
      <c r="GN115" s="8"/>
      <c r="GO115" s="8"/>
      <c r="GP115" s="8"/>
      <c r="GQ115" s="8"/>
      <c r="GR115" s="8"/>
      <c r="GS115" s="8"/>
      <c r="GT115" s="8"/>
      <c r="GU115" s="8"/>
      <c r="GV115" s="8"/>
      <c r="GW115" s="8"/>
      <c r="GX115" s="8"/>
      <c r="GY115" s="8"/>
      <c r="GZ115" s="8"/>
      <c r="HA115" s="8"/>
      <c r="HB115" s="8"/>
      <c r="HC115" s="8"/>
      <c r="HD115" s="8"/>
      <c r="HE115" s="8"/>
      <c r="HF115" s="8"/>
      <c r="HG115" s="8"/>
      <c r="HH115" s="8"/>
      <c r="HI115" s="8"/>
      <c r="HJ115" s="8"/>
      <c r="HK115" s="8"/>
      <c r="HL115" s="8"/>
      <c r="HM115" s="8"/>
      <c r="HN115" s="8"/>
      <c r="HO115" s="8"/>
      <c r="HP115" s="8"/>
      <c r="HQ115" s="8"/>
      <c r="HR115" s="8"/>
      <c r="HS115" s="8"/>
      <c r="HT115" s="8"/>
      <c r="HU115" s="8"/>
      <c r="HV115" s="8"/>
      <c r="HW115" s="8"/>
      <c r="HX115" s="8"/>
      <c r="HY115" s="8"/>
      <c r="HZ115" s="8"/>
      <c r="IA115" s="8"/>
      <c r="IB115" s="8"/>
      <c r="IC115" s="8"/>
      <c r="ID115" s="8"/>
      <c r="IE115" s="8"/>
      <c r="IF115" s="8"/>
      <c r="IG115" s="8"/>
      <c r="IH115" s="8"/>
      <c r="II115" s="8"/>
      <c r="IJ115" s="8"/>
      <c r="IK115" s="8"/>
      <c r="IL115" s="8"/>
      <c r="IM115" s="8"/>
    </row>
    <row r="116" spans="1:247" x14ac:dyDescent="0.25">
      <c r="A116" s="4">
        <v>4428</v>
      </c>
      <c r="B116" s="9" t="s">
        <v>128</v>
      </c>
      <c r="C116" s="10" t="s">
        <v>9</v>
      </c>
      <c r="D116" s="1721" t="s">
        <v>3062</v>
      </c>
      <c r="E116" s="1728"/>
      <c r="F116" s="1723">
        <f t="shared" si="0"/>
        <v>1.0209999999999999</v>
      </c>
      <c r="G116" s="1729"/>
      <c r="H116" s="1728"/>
      <c r="I116" s="1730"/>
      <c r="J116" s="1730">
        <f>+$J$3</f>
        <v>1.0049999999999999</v>
      </c>
      <c r="K116" s="1730"/>
      <c r="L116" s="1730"/>
      <c r="M116" s="1730">
        <f>+$M$3</f>
        <v>1.0029999999999999</v>
      </c>
      <c r="N116" s="1729">
        <f>+$N$3</f>
        <v>1.0029999999999999</v>
      </c>
      <c r="O116" s="1731"/>
      <c r="P116" s="1728">
        <f t="shared" si="27"/>
        <v>1.032</v>
      </c>
      <c r="Q116" s="1729">
        <f t="shared" si="28"/>
        <v>1.0349999999999999</v>
      </c>
      <c r="R116" s="1732">
        <f t="shared" si="1"/>
        <v>1.1025891562650529</v>
      </c>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c r="ED116" s="8"/>
      <c r="EE116" s="8"/>
      <c r="EF116" s="8"/>
      <c r="EG116" s="8"/>
      <c r="EH116" s="8"/>
      <c r="EI116" s="8"/>
      <c r="EJ116" s="8"/>
      <c r="EK116" s="8"/>
      <c r="EL116" s="8"/>
      <c r="EM116" s="8"/>
      <c r="EN116" s="8"/>
      <c r="EO116" s="8"/>
      <c r="EP116" s="8"/>
      <c r="EQ116" s="8"/>
      <c r="ER116" s="8"/>
      <c r="ES116" s="8"/>
      <c r="ET116" s="8"/>
      <c r="EU116" s="8"/>
      <c r="EV116" s="8"/>
      <c r="EW116" s="8"/>
      <c r="EX116" s="8"/>
      <c r="EY116" s="8"/>
      <c r="EZ116" s="8"/>
      <c r="FA116" s="8"/>
      <c r="FB116" s="8"/>
      <c r="FC116" s="8"/>
      <c r="FD116" s="8"/>
      <c r="FE116" s="8"/>
      <c r="FF116" s="8"/>
      <c r="FG116" s="8"/>
      <c r="FH116" s="8"/>
      <c r="FI116" s="8"/>
      <c r="FJ116" s="8"/>
      <c r="FK116" s="8"/>
      <c r="FL116" s="8"/>
      <c r="FM116" s="8"/>
      <c r="FN116" s="8"/>
      <c r="FO116" s="8"/>
      <c r="FP116" s="8"/>
      <c r="FQ116" s="8"/>
      <c r="FR116" s="8"/>
      <c r="FS116" s="8"/>
      <c r="FT116" s="8"/>
      <c r="FU116" s="8"/>
      <c r="FV116" s="8"/>
      <c r="FW116" s="8"/>
      <c r="FX116" s="8"/>
      <c r="FY116" s="8"/>
      <c r="FZ116" s="8"/>
      <c r="GA116" s="8"/>
      <c r="GB116" s="8"/>
      <c r="GC116" s="8"/>
      <c r="GD116" s="8"/>
      <c r="GE116" s="8"/>
      <c r="GF116" s="8"/>
      <c r="GG116" s="8"/>
      <c r="GH116" s="8"/>
      <c r="GI116" s="8"/>
      <c r="GJ116" s="8"/>
      <c r="GK116" s="8"/>
      <c r="GL116" s="8"/>
      <c r="GM116" s="8"/>
      <c r="GN116" s="8"/>
      <c r="GO116" s="8"/>
      <c r="GP116" s="8"/>
      <c r="GQ116" s="8"/>
      <c r="GR116" s="8"/>
      <c r="GS116" s="8"/>
      <c r="GT116" s="8"/>
      <c r="GU116" s="8"/>
      <c r="GV116" s="8"/>
      <c r="GW116" s="8"/>
      <c r="GX116" s="8"/>
      <c r="GY116" s="8"/>
      <c r="GZ116" s="8"/>
      <c r="HA116" s="8"/>
      <c r="HB116" s="8"/>
      <c r="HC116" s="8"/>
      <c r="HD116" s="8"/>
      <c r="HE116" s="8"/>
      <c r="HF116" s="8"/>
      <c r="HG116" s="8"/>
      <c r="HH116" s="8"/>
      <c r="HI116" s="8"/>
      <c r="HJ116" s="8"/>
      <c r="HK116" s="8"/>
      <c r="HL116" s="8"/>
      <c r="HM116" s="8"/>
      <c r="HN116" s="8"/>
      <c r="HO116" s="8"/>
      <c r="HP116" s="8"/>
      <c r="HQ116" s="8"/>
      <c r="HR116" s="8"/>
      <c r="HS116" s="8"/>
      <c r="HT116" s="8"/>
      <c r="HU116" s="8"/>
      <c r="HV116" s="8"/>
      <c r="HW116" s="8"/>
      <c r="HX116" s="8"/>
      <c r="HY116" s="8"/>
      <c r="HZ116" s="8"/>
      <c r="IA116" s="8"/>
      <c r="IB116" s="8"/>
      <c r="IC116" s="8"/>
      <c r="ID116" s="8"/>
      <c r="IE116" s="8"/>
      <c r="IF116" s="8"/>
      <c r="IG116" s="8"/>
      <c r="IH116" s="8"/>
      <c r="II116" s="8"/>
      <c r="IJ116" s="8"/>
      <c r="IK116" s="8"/>
      <c r="IL116" s="8"/>
      <c r="IM116" s="8"/>
    </row>
    <row r="117" spans="1:247" x14ac:dyDescent="0.25">
      <c r="A117" s="4">
        <v>4511</v>
      </c>
      <c r="B117" s="9" t="s">
        <v>129</v>
      </c>
      <c r="C117" s="10" t="s">
        <v>3</v>
      </c>
      <c r="D117" s="1721" t="s">
        <v>3060</v>
      </c>
      <c r="E117" s="1728"/>
      <c r="F117" s="1723">
        <f t="shared" si="0"/>
        <v>1.0209999999999999</v>
      </c>
      <c r="G117" s="1729"/>
      <c r="H117" s="1728"/>
      <c r="I117" s="1730"/>
      <c r="J117" s="1730"/>
      <c r="K117" s="1730"/>
      <c r="L117" s="1730"/>
      <c r="M117" s="1730"/>
      <c r="N117" s="1729"/>
      <c r="O117" s="1731"/>
      <c r="P117" s="1728">
        <f t="shared" si="27"/>
        <v>1.032</v>
      </c>
      <c r="Q117" s="1729">
        <f t="shared" si="28"/>
        <v>1.0349999999999999</v>
      </c>
      <c r="R117" s="1732">
        <f>PRODUCT(E117:Q117)</f>
        <v>1.0905505199999999</v>
      </c>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row>
    <row r="118" spans="1:247" x14ac:dyDescent="0.25">
      <c r="A118" s="4">
        <v>4521</v>
      </c>
      <c r="B118" s="9" t="s">
        <v>130</v>
      </c>
      <c r="C118" s="10" t="s">
        <v>3</v>
      </c>
      <c r="D118" s="1721" t="s">
        <v>3060</v>
      </c>
      <c r="E118" s="1728"/>
      <c r="F118" s="1723">
        <f t="shared" si="0"/>
        <v>1.0209999999999999</v>
      </c>
      <c r="G118" s="1729"/>
      <c r="H118" s="1728"/>
      <c r="I118" s="1730"/>
      <c r="J118" s="1730"/>
      <c r="K118" s="1730"/>
      <c r="L118" s="1730"/>
      <c r="M118" s="1730"/>
      <c r="N118" s="1729"/>
      <c r="O118" s="1731"/>
      <c r="P118" s="1728">
        <f t="shared" si="27"/>
        <v>1.032</v>
      </c>
      <c r="Q118" s="1729">
        <f t="shared" si="28"/>
        <v>1.0349999999999999</v>
      </c>
      <c r="R118" s="1732">
        <f>PRODUCT(E118:Q118)</f>
        <v>1.0905505199999999</v>
      </c>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row>
    <row r="119" spans="1:247" x14ac:dyDescent="0.25">
      <c r="A119" s="4">
        <v>5302</v>
      </c>
      <c r="B119" s="9" t="s">
        <v>132</v>
      </c>
      <c r="C119" s="10" t="s">
        <v>9</v>
      </c>
      <c r="D119" s="1721" t="s">
        <v>3062</v>
      </c>
      <c r="E119" s="1728">
        <f>+$E$3</f>
        <v>1.0740000000000001</v>
      </c>
      <c r="F119" s="1723">
        <f t="shared" si="0"/>
        <v>1.0209999999999999</v>
      </c>
      <c r="G119" s="1729">
        <f t="shared" ref="G119:G125" si="29">+$G$3</f>
        <v>1.0269999999999999</v>
      </c>
      <c r="H119" s="1728">
        <f>+$H$3</f>
        <v>1.0029999999999999</v>
      </c>
      <c r="I119" s="1730">
        <f>+$I$3</f>
        <v>1.0289999999999999</v>
      </c>
      <c r="J119" s="1730">
        <f>+$J$3</f>
        <v>1.0049999999999999</v>
      </c>
      <c r="K119" s="1730">
        <f>+$K$3</f>
        <v>1.026</v>
      </c>
      <c r="L119" s="1730">
        <f>+$L$3</f>
        <v>1.0129999999999999</v>
      </c>
      <c r="M119" s="1730">
        <f>+$M$3</f>
        <v>1.0029999999999999</v>
      </c>
      <c r="N119" s="1729">
        <f>+$N$3</f>
        <v>1.0029999999999999</v>
      </c>
      <c r="O119" s="1731">
        <f>+$O$3</f>
        <v>1.0209999999999999</v>
      </c>
      <c r="P119" s="1728">
        <f t="shared" si="27"/>
        <v>1.032</v>
      </c>
      <c r="Q119" s="1729">
        <f t="shared" si="28"/>
        <v>1.0349999999999999</v>
      </c>
      <c r="R119" s="1732">
        <f t="shared" si="1"/>
        <v>1.3319480854780448</v>
      </c>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row>
    <row r="120" spans="1:247" x14ac:dyDescent="0.25">
      <c r="A120" s="4">
        <v>5303</v>
      </c>
      <c r="B120" s="9" t="s">
        <v>133</v>
      </c>
      <c r="C120" s="10" t="s">
        <v>9</v>
      </c>
      <c r="D120" s="1721" t="s">
        <v>3062</v>
      </c>
      <c r="E120" s="1728">
        <f>+$E$3</f>
        <v>1.0740000000000001</v>
      </c>
      <c r="F120" s="1723">
        <f t="shared" si="0"/>
        <v>1.0209999999999999</v>
      </c>
      <c r="G120" s="1729">
        <f t="shared" si="29"/>
        <v>1.0269999999999999</v>
      </c>
      <c r="H120" s="1728">
        <f>+$H$3</f>
        <v>1.0029999999999999</v>
      </c>
      <c r="I120" s="1730">
        <f>+$I$3</f>
        <v>1.0289999999999999</v>
      </c>
      <c r="J120" s="1730">
        <f>+$J$3</f>
        <v>1.0049999999999999</v>
      </c>
      <c r="K120" s="1730">
        <f>+$K$3</f>
        <v>1.026</v>
      </c>
      <c r="L120" s="1730">
        <f>+$L$3</f>
        <v>1.0129999999999999</v>
      </c>
      <c r="M120" s="1730">
        <f>+$M$3</f>
        <v>1.0029999999999999</v>
      </c>
      <c r="N120" s="1729">
        <f>+$N$3</f>
        <v>1.0029999999999999</v>
      </c>
      <c r="O120" s="1731">
        <f>+$O$3</f>
        <v>1.0209999999999999</v>
      </c>
      <c r="P120" s="1728">
        <f t="shared" si="27"/>
        <v>1.032</v>
      </c>
      <c r="Q120" s="1729">
        <f t="shared" si="28"/>
        <v>1.0349999999999999</v>
      </c>
      <c r="R120" s="1732">
        <f t="shared" si="1"/>
        <v>1.3319480854780448</v>
      </c>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row>
    <row r="121" spans="1:247" x14ac:dyDescent="0.25">
      <c r="A121" s="4">
        <v>5304</v>
      </c>
      <c r="B121" s="9" t="s">
        <v>134</v>
      </c>
      <c r="C121" s="10" t="s">
        <v>9</v>
      </c>
      <c r="D121" s="1721" t="s">
        <v>3062</v>
      </c>
      <c r="E121" s="1728">
        <f>+$E$3</f>
        <v>1.0740000000000001</v>
      </c>
      <c r="F121" s="1723">
        <f t="shared" si="0"/>
        <v>1.0209999999999999</v>
      </c>
      <c r="G121" s="1729">
        <f t="shared" si="29"/>
        <v>1.0269999999999999</v>
      </c>
      <c r="H121" s="1728">
        <f>+$H$3</f>
        <v>1.0029999999999999</v>
      </c>
      <c r="I121" s="1730">
        <f>+$I$3</f>
        <v>1.0289999999999999</v>
      </c>
      <c r="J121" s="1730">
        <f>+$J$3</f>
        <v>1.0049999999999999</v>
      </c>
      <c r="K121" s="1730">
        <f>+$K$3</f>
        <v>1.026</v>
      </c>
      <c r="L121" s="1730">
        <f>+$L$3</f>
        <v>1.0129999999999999</v>
      </c>
      <c r="M121" s="1730">
        <f>+$M$3</f>
        <v>1.0029999999999999</v>
      </c>
      <c r="N121" s="1729">
        <f>+$N$3</f>
        <v>1.0029999999999999</v>
      </c>
      <c r="O121" s="1731">
        <f>+$O$3</f>
        <v>1.0209999999999999</v>
      </c>
      <c r="P121" s="1728">
        <f t="shared" si="27"/>
        <v>1.032</v>
      </c>
      <c r="Q121" s="1729">
        <f t="shared" si="28"/>
        <v>1.0349999999999999</v>
      </c>
      <c r="R121" s="1732">
        <f t="shared" si="1"/>
        <v>1.3319480854780448</v>
      </c>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row>
    <row r="122" spans="1:247" x14ac:dyDescent="0.25">
      <c r="A122" s="4">
        <v>5306</v>
      </c>
      <c r="B122" s="9" t="s">
        <v>135</v>
      </c>
      <c r="C122" s="10" t="s">
        <v>9</v>
      </c>
      <c r="D122" s="1721" t="s">
        <v>3062</v>
      </c>
      <c r="E122" s="1728">
        <f>+$E$3</f>
        <v>1.0740000000000001</v>
      </c>
      <c r="F122" s="1723">
        <f t="shared" si="0"/>
        <v>1.0209999999999999</v>
      </c>
      <c r="G122" s="1729">
        <f t="shared" si="29"/>
        <v>1.0269999999999999</v>
      </c>
      <c r="H122" s="1728">
        <f>+$H$3</f>
        <v>1.0029999999999999</v>
      </c>
      <c r="I122" s="1730">
        <f>+$I$3</f>
        <v>1.0289999999999999</v>
      </c>
      <c r="J122" s="1730">
        <f>+$J$3</f>
        <v>1.0049999999999999</v>
      </c>
      <c r="K122" s="1730"/>
      <c r="L122" s="1730">
        <f>+$L$3</f>
        <v>1.0129999999999999</v>
      </c>
      <c r="M122" s="1730">
        <f>+$M$3</f>
        <v>1.0029999999999999</v>
      </c>
      <c r="N122" s="1729">
        <f>+$N$3</f>
        <v>1.0029999999999999</v>
      </c>
      <c r="O122" s="1731">
        <f>+$O$3</f>
        <v>1.0209999999999999</v>
      </c>
      <c r="P122" s="1728">
        <f t="shared" si="27"/>
        <v>1.032</v>
      </c>
      <c r="Q122" s="1729">
        <f t="shared" si="28"/>
        <v>1.0349999999999999</v>
      </c>
      <c r="R122" s="1732">
        <f t="shared" si="1"/>
        <v>1.2981950150858137</v>
      </c>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row>
    <row r="123" spans="1:247" x14ac:dyDescent="0.25">
      <c r="A123" s="4">
        <v>5307</v>
      </c>
      <c r="B123" s="9" t="s">
        <v>136</v>
      </c>
      <c r="C123" s="10" t="s">
        <v>9</v>
      </c>
      <c r="D123" s="1721" t="s">
        <v>3062</v>
      </c>
      <c r="E123" s="1728"/>
      <c r="F123" s="1723">
        <f t="shared" si="0"/>
        <v>1.0209999999999999</v>
      </c>
      <c r="G123" s="1729">
        <f t="shared" si="29"/>
        <v>1.0269999999999999</v>
      </c>
      <c r="H123" s="1728"/>
      <c r="I123" s="1730"/>
      <c r="J123" s="1730"/>
      <c r="K123" s="1730"/>
      <c r="L123" s="1730"/>
      <c r="M123" s="1730"/>
      <c r="N123" s="1729"/>
      <c r="O123" s="1731"/>
      <c r="P123" s="1728">
        <f t="shared" si="27"/>
        <v>1.032</v>
      </c>
      <c r="Q123" s="1729">
        <f t="shared" si="28"/>
        <v>1.0349999999999999</v>
      </c>
      <c r="R123" s="1732">
        <f t="shared" si="1"/>
        <v>1.1199953840399997</v>
      </c>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row>
    <row r="124" spans="1:247" x14ac:dyDescent="0.25">
      <c r="A124" s="4">
        <v>6103</v>
      </c>
      <c r="B124" s="9" t="s">
        <v>137</v>
      </c>
      <c r="C124" s="10" t="s">
        <v>9</v>
      </c>
      <c r="D124" s="1721" t="s">
        <v>3062</v>
      </c>
      <c r="E124" s="1728"/>
      <c r="F124" s="1723">
        <f t="shared" si="0"/>
        <v>1.0209999999999999</v>
      </c>
      <c r="G124" s="1729">
        <f t="shared" si="29"/>
        <v>1.0269999999999999</v>
      </c>
      <c r="H124" s="1728">
        <f>+$H$3</f>
        <v>1.0029999999999999</v>
      </c>
      <c r="I124" s="1730">
        <f>+$I$3</f>
        <v>1.0289999999999999</v>
      </c>
      <c r="J124" s="1730">
        <f>+$J$3</f>
        <v>1.0049999999999999</v>
      </c>
      <c r="K124" s="1730"/>
      <c r="L124" s="1730"/>
      <c r="M124" s="1730"/>
      <c r="N124" s="1729"/>
      <c r="O124" s="1731">
        <f>+$O$3</f>
        <v>1.0209999999999999</v>
      </c>
      <c r="P124" s="1728">
        <f t="shared" si="27"/>
        <v>1.032</v>
      </c>
      <c r="Q124" s="1729">
        <f t="shared" si="28"/>
        <v>1.0349999999999999</v>
      </c>
      <c r="R124" s="1732">
        <f t="shared" si="1"/>
        <v>1.1861082984327833</v>
      </c>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row>
    <row r="125" spans="1:247" x14ac:dyDescent="0.25">
      <c r="A125" s="4">
        <v>6107</v>
      </c>
      <c r="B125" s="9" t="s">
        <v>3250</v>
      </c>
      <c r="C125" s="10" t="s">
        <v>9</v>
      </c>
      <c r="D125" s="1721" t="s">
        <v>3062</v>
      </c>
      <c r="E125" s="1728">
        <f>+$E$3</f>
        <v>1.0740000000000001</v>
      </c>
      <c r="F125" s="1723">
        <f t="shared" si="0"/>
        <v>1.0209999999999999</v>
      </c>
      <c r="G125" s="1729">
        <f t="shared" si="29"/>
        <v>1.0269999999999999</v>
      </c>
      <c r="H125" s="1728">
        <f>+$H$3</f>
        <v>1.0029999999999999</v>
      </c>
      <c r="I125" s="1730">
        <f>+$I$3</f>
        <v>1.0289999999999999</v>
      </c>
      <c r="J125" s="1730">
        <f>+$J$3</f>
        <v>1.0049999999999999</v>
      </c>
      <c r="K125" s="1730">
        <f>+$K$3</f>
        <v>1.026</v>
      </c>
      <c r="L125" s="1730">
        <f>+$L$3</f>
        <v>1.0129999999999999</v>
      </c>
      <c r="M125" s="1730">
        <f>+$M$3</f>
        <v>1.0029999999999999</v>
      </c>
      <c r="N125" s="1729">
        <f>+$N$3</f>
        <v>1.0029999999999999</v>
      </c>
      <c r="O125" s="1731">
        <f>+$O$3</f>
        <v>1.0209999999999999</v>
      </c>
      <c r="P125" s="1728">
        <f t="shared" si="27"/>
        <v>1.032</v>
      </c>
      <c r="Q125" s="1729">
        <f t="shared" si="28"/>
        <v>1.0349999999999999</v>
      </c>
      <c r="R125" s="1732">
        <f t="shared" ref="R125" si="30">PRODUCT(E125:Q125)</f>
        <v>1.3319480854780448</v>
      </c>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row>
    <row r="126" spans="1:247" x14ac:dyDescent="0.25">
      <c r="A126" s="4">
        <v>6900</v>
      </c>
      <c r="B126" s="9" t="s">
        <v>138</v>
      </c>
      <c r="C126" s="10" t="s">
        <v>11</v>
      </c>
      <c r="D126" s="1721" t="s">
        <v>3060</v>
      </c>
      <c r="E126" s="1728"/>
      <c r="F126" s="1723">
        <f t="shared" si="0"/>
        <v>1.0209999999999999</v>
      </c>
      <c r="G126" s="1729"/>
      <c r="H126" s="1728"/>
      <c r="I126" s="1730"/>
      <c r="J126" s="1730"/>
      <c r="K126" s="1730"/>
      <c r="L126" s="1730"/>
      <c r="M126" s="1730"/>
      <c r="N126" s="1729"/>
      <c r="O126" s="1731"/>
      <c r="P126" s="1728"/>
      <c r="Q126" s="1729"/>
      <c r="R126" s="1732">
        <f t="shared" si="1"/>
        <v>1.0209999999999999</v>
      </c>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row>
    <row r="127" spans="1:247" x14ac:dyDescent="0.25">
      <c r="A127" s="4">
        <v>7120</v>
      </c>
      <c r="B127" s="9" t="s">
        <v>139</v>
      </c>
      <c r="C127" s="10" t="s">
        <v>9</v>
      </c>
      <c r="D127" s="1721" t="s">
        <v>3062</v>
      </c>
      <c r="E127" s="1728"/>
      <c r="F127" s="1723">
        <f t="shared" si="0"/>
        <v>1.0209999999999999</v>
      </c>
      <c r="G127" s="1729"/>
      <c r="H127" s="1728"/>
      <c r="I127" s="1730"/>
      <c r="J127" s="1730"/>
      <c r="K127" s="1730"/>
      <c r="L127" s="1730"/>
      <c r="M127" s="1730"/>
      <c r="N127" s="1729"/>
      <c r="O127" s="1731"/>
      <c r="P127" s="1728"/>
      <c r="Q127" s="1729"/>
      <c r="R127" s="1732">
        <f t="shared" si="1"/>
        <v>1.0209999999999999</v>
      </c>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row>
    <row r="128" spans="1:247" x14ac:dyDescent="0.25">
      <c r="A128" s="4">
        <v>7130</v>
      </c>
      <c r="B128" s="9" t="s">
        <v>140</v>
      </c>
      <c r="C128" s="10" t="s">
        <v>3</v>
      </c>
      <c r="D128" s="1721" t="s">
        <v>3061</v>
      </c>
      <c r="E128" s="1728"/>
      <c r="F128" s="1723">
        <f t="shared" si="0"/>
        <v>1.0209999999999999</v>
      </c>
      <c r="G128" s="1729"/>
      <c r="H128" s="1728"/>
      <c r="I128" s="1730"/>
      <c r="J128" s="1730"/>
      <c r="K128" s="1730"/>
      <c r="L128" s="1730"/>
      <c r="M128" s="1730"/>
      <c r="N128" s="1729"/>
      <c r="O128" s="1731"/>
      <c r="P128" s="1728"/>
      <c r="Q128" s="1729"/>
      <c r="R128" s="1732">
        <f t="shared" si="1"/>
        <v>1.0209999999999999</v>
      </c>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row>
    <row r="129" spans="1:247" x14ac:dyDescent="0.25">
      <c r="A129" s="4">
        <v>7141</v>
      </c>
      <c r="B129" s="9" t="s">
        <v>141</v>
      </c>
      <c r="C129" s="10" t="s">
        <v>9</v>
      </c>
      <c r="D129" s="1721" t="s">
        <v>3062</v>
      </c>
      <c r="E129" s="1728"/>
      <c r="F129" s="1723">
        <f t="shared" ref="F129:F195" si="31">+$F$3</f>
        <v>1.0209999999999999</v>
      </c>
      <c r="G129" s="1729"/>
      <c r="H129" s="1728"/>
      <c r="I129" s="1730"/>
      <c r="J129" s="1730"/>
      <c r="K129" s="1730"/>
      <c r="L129" s="1730"/>
      <c r="M129" s="1730"/>
      <c r="N129" s="1729"/>
      <c r="O129" s="1731"/>
      <c r="P129" s="1728">
        <f>+$P$3</f>
        <v>1.032</v>
      </c>
      <c r="Q129" s="1729">
        <f>+$Q$3</f>
        <v>1.0349999999999999</v>
      </c>
      <c r="R129" s="1732">
        <f t="shared" ref="R129:R195" si="32">PRODUCT(E129:Q129)</f>
        <v>1.0905505199999999</v>
      </c>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row>
    <row r="130" spans="1:247" x14ac:dyDescent="0.25">
      <c r="A130" s="4">
        <v>7142</v>
      </c>
      <c r="B130" s="9" t="s">
        <v>142</v>
      </c>
      <c r="C130" s="10" t="s">
        <v>9</v>
      </c>
      <c r="D130" s="1721" t="s">
        <v>3062</v>
      </c>
      <c r="E130" s="1728"/>
      <c r="F130" s="1723">
        <f t="shared" si="31"/>
        <v>1.0209999999999999</v>
      </c>
      <c r="G130" s="1729"/>
      <c r="H130" s="1728"/>
      <c r="I130" s="1730"/>
      <c r="J130" s="1730"/>
      <c r="K130" s="1730"/>
      <c r="L130" s="1730"/>
      <c r="M130" s="1730"/>
      <c r="N130" s="1729"/>
      <c r="O130" s="1731"/>
      <c r="P130" s="1728"/>
      <c r="Q130" s="1729"/>
      <c r="R130" s="1732">
        <f t="shared" si="32"/>
        <v>1.0209999999999999</v>
      </c>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row>
    <row r="131" spans="1:247" x14ac:dyDescent="0.25">
      <c r="A131" s="4">
        <v>7143</v>
      </c>
      <c r="B131" s="9" t="s">
        <v>143</v>
      </c>
      <c r="C131" s="10" t="s">
        <v>9</v>
      </c>
      <c r="D131" s="1721" t="s">
        <v>3062</v>
      </c>
      <c r="E131" s="1728"/>
      <c r="F131" s="1723">
        <f t="shared" si="31"/>
        <v>1.0209999999999999</v>
      </c>
      <c r="G131" s="1729"/>
      <c r="H131" s="1728"/>
      <c r="I131" s="1730"/>
      <c r="J131" s="1730"/>
      <c r="K131" s="1730"/>
      <c r="L131" s="1730"/>
      <c r="M131" s="1730"/>
      <c r="N131" s="1729"/>
      <c r="O131" s="1731"/>
      <c r="P131" s="1728"/>
      <c r="Q131" s="1729"/>
      <c r="R131" s="1732">
        <f t="shared" si="32"/>
        <v>1.0209999999999999</v>
      </c>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row>
    <row r="132" spans="1:247" x14ac:dyDescent="0.25">
      <c r="A132" s="4">
        <v>7145</v>
      </c>
      <c r="B132" s="9" t="s">
        <v>144</v>
      </c>
      <c r="C132" s="10" t="s">
        <v>9</v>
      </c>
      <c r="D132" s="1721" t="s">
        <v>3062</v>
      </c>
      <c r="E132" s="1728"/>
      <c r="F132" s="1723">
        <f t="shared" si="31"/>
        <v>1.0209999999999999</v>
      </c>
      <c r="G132" s="1729"/>
      <c r="H132" s="1728"/>
      <c r="I132" s="1730"/>
      <c r="J132" s="1730"/>
      <c r="K132" s="1730"/>
      <c r="L132" s="1730"/>
      <c r="M132" s="1730"/>
      <c r="N132" s="1729"/>
      <c r="O132" s="1731"/>
      <c r="P132" s="1728"/>
      <c r="Q132" s="1729"/>
      <c r="R132" s="1732">
        <f t="shared" si="32"/>
        <v>1.0209999999999999</v>
      </c>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row>
    <row r="133" spans="1:247" x14ac:dyDescent="0.25">
      <c r="A133" s="4">
        <v>7147</v>
      </c>
      <c r="B133" s="9" t="s">
        <v>145</v>
      </c>
      <c r="C133" s="10" t="s">
        <v>9</v>
      </c>
      <c r="D133" s="1721" t="s">
        <v>3060</v>
      </c>
      <c r="E133" s="1728"/>
      <c r="F133" s="1723">
        <f t="shared" si="31"/>
        <v>1.0209999999999999</v>
      </c>
      <c r="G133" s="1729"/>
      <c r="H133" s="1728"/>
      <c r="I133" s="1730"/>
      <c r="J133" s="1730"/>
      <c r="K133" s="1730"/>
      <c r="L133" s="1730"/>
      <c r="M133" s="1730"/>
      <c r="N133" s="1729"/>
      <c r="O133" s="1731"/>
      <c r="P133" s="1728">
        <f>+$P$3</f>
        <v>1.032</v>
      </c>
      <c r="Q133" s="1729">
        <f>+$Q$3</f>
        <v>1.0349999999999999</v>
      </c>
      <c r="R133" s="1732">
        <f t="shared" si="32"/>
        <v>1.0905505199999999</v>
      </c>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row>
    <row r="134" spans="1:247" x14ac:dyDescent="0.25">
      <c r="A134" s="4">
        <v>7215</v>
      </c>
      <c r="B134" s="9" t="s">
        <v>146</v>
      </c>
      <c r="C134" s="10" t="s">
        <v>9</v>
      </c>
      <c r="D134" s="1721" t="s">
        <v>3062</v>
      </c>
      <c r="E134" s="1728">
        <f>+$E$3</f>
        <v>1.0740000000000001</v>
      </c>
      <c r="F134" s="1723">
        <f t="shared" si="31"/>
        <v>1.0209999999999999</v>
      </c>
      <c r="G134" s="1729">
        <f>+$G$3</f>
        <v>1.0269999999999999</v>
      </c>
      <c r="H134" s="1728">
        <f>+$H$3</f>
        <v>1.0029999999999999</v>
      </c>
      <c r="I134" s="1730">
        <f>+$I$3</f>
        <v>1.0289999999999999</v>
      </c>
      <c r="J134" s="1730">
        <f>+$J$3</f>
        <v>1.0049999999999999</v>
      </c>
      <c r="K134" s="1730">
        <f>+$K$3</f>
        <v>1.026</v>
      </c>
      <c r="L134" s="1730">
        <f>+$L$3</f>
        <v>1.0129999999999999</v>
      </c>
      <c r="M134" s="1730">
        <f>+$M$3</f>
        <v>1.0029999999999999</v>
      </c>
      <c r="N134" s="1729">
        <f>+$N$3</f>
        <v>1.0029999999999999</v>
      </c>
      <c r="O134" s="1731">
        <f>+$O$3</f>
        <v>1.0209999999999999</v>
      </c>
      <c r="P134" s="1728">
        <f>+$P$3</f>
        <v>1.032</v>
      </c>
      <c r="Q134" s="1729">
        <f>+$Q$3</f>
        <v>1.0349999999999999</v>
      </c>
      <c r="R134" s="1732">
        <f t="shared" si="32"/>
        <v>1.3319480854780448</v>
      </c>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row>
    <row r="135" spans="1:247" x14ac:dyDescent="0.25">
      <c r="A135" s="4">
        <v>7231</v>
      </c>
      <c r="B135" s="9" t="s">
        <v>147</v>
      </c>
      <c r="C135" s="10" t="s">
        <v>9</v>
      </c>
      <c r="D135" s="1721" t="s">
        <v>3062</v>
      </c>
      <c r="E135" s="1728">
        <f>+$E$3</f>
        <v>1.0740000000000001</v>
      </c>
      <c r="F135" s="1723">
        <f t="shared" si="31"/>
        <v>1.0209999999999999</v>
      </c>
      <c r="G135" s="1729">
        <f>+$G$3</f>
        <v>1.0269999999999999</v>
      </c>
      <c r="H135" s="1728"/>
      <c r="I135" s="1730"/>
      <c r="J135" s="1730"/>
      <c r="K135" s="1730"/>
      <c r="L135" s="1730"/>
      <c r="M135" s="1730">
        <f>+$M$3</f>
        <v>1.0029999999999999</v>
      </c>
      <c r="N135" s="1729"/>
      <c r="O135" s="1731"/>
      <c r="P135" s="1728"/>
      <c r="Q135" s="1729">
        <f>+$Q$3</f>
        <v>1.0349999999999999</v>
      </c>
      <c r="R135" s="1732">
        <f t="shared" si="32"/>
        <v>1.1690733213045894</v>
      </c>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row>
    <row r="136" spans="1:247" x14ac:dyDescent="0.25">
      <c r="A136" s="4">
        <v>7232</v>
      </c>
      <c r="B136" s="9" t="s">
        <v>148</v>
      </c>
      <c r="C136" s="10" t="s">
        <v>9</v>
      </c>
      <c r="D136" s="1721" t="s">
        <v>3062</v>
      </c>
      <c r="E136" s="1728"/>
      <c r="F136" s="1723">
        <f t="shared" si="31"/>
        <v>1.0209999999999999</v>
      </c>
      <c r="G136" s="1729"/>
      <c r="H136" s="1728">
        <f>+$H$3</f>
        <v>1.0029999999999999</v>
      </c>
      <c r="I136" s="1730"/>
      <c r="J136" s="1730"/>
      <c r="K136" s="1730"/>
      <c r="L136" s="1730"/>
      <c r="M136" s="1730"/>
      <c r="N136" s="1729"/>
      <c r="O136" s="1731"/>
      <c r="P136" s="1728">
        <f>+$P$3</f>
        <v>1.032</v>
      </c>
      <c r="Q136" s="1729">
        <f>+$Q$3</f>
        <v>1.0349999999999999</v>
      </c>
      <c r="R136" s="1732">
        <f t="shared" si="32"/>
        <v>1.0938221715599996</v>
      </c>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row>
    <row r="137" spans="1:247" x14ac:dyDescent="0.25">
      <c r="A137" s="4">
        <v>7233</v>
      </c>
      <c r="B137" s="9" t="s">
        <v>149</v>
      </c>
      <c r="C137" s="10" t="s">
        <v>9</v>
      </c>
      <c r="D137" s="1721" t="s">
        <v>3062</v>
      </c>
      <c r="E137" s="1728"/>
      <c r="F137" s="1723">
        <f t="shared" si="31"/>
        <v>1.0209999999999999</v>
      </c>
      <c r="G137" s="1729">
        <f>+$G$3</f>
        <v>1.0269999999999999</v>
      </c>
      <c r="H137" s="1728">
        <f>+$H$3</f>
        <v>1.0029999999999999</v>
      </c>
      <c r="I137" s="1730"/>
      <c r="J137" s="1730">
        <f>+$J$3</f>
        <v>1.0049999999999999</v>
      </c>
      <c r="K137" s="1730"/>
      <c r="L137" s="1730"/>
      <c r="M137" s="1730"/>
      <c r="N137" s="1729"/>
      <c r="O137" s="1731"/>
      <c r="P137" s="1728"/>
      <c r="Q137" s="1729"/>
      <c r="R137" s="1732">
        <f t="shared" si="32"/>
        <v>1.0569712645049996</v>
      </c>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row>
    <row r="138" spans="1:247" x14ac:dyDescent="0.25">
      <c r="A138" s="4">
        <v>7234</v>
      </c>
      <c r="B138" s="9" t="s">
        <v>150</v>
      </c>
      <c r="C138" s="10" t="s">
        <v>9</v>
      </c>
      <c r="D138" s="1721" t="s">
        <v>3062</v>
      </c>
      <c r="E138" s="1728"/>
      <c r="F138" s="1723">
        <f t="shared" si="31"/>
        <v>1.0209999999999999</v>
      </c>
      <c r="G138" s="1729">
        <f>+$G$3</f>
        <v>1.0269999999999999</v>
      </c>
      <c r="H138" s="1728"/>
      <c r="I138" s="1730"/>
      <c r="J138" s="1730"/>
      <c r="K138" s="1730">
        <f>+$K$3</f>
        <v>1.026</v>
      </c>
      <c r="L138" s="1730">
        <f>+$L$3</f>
        <v>1.0129999999999999</v>
      </c>
      <c r="M138" s="1730"/>
      <c r="N138" s="1729">
        <f>+$N$3</f>
        <v>1.0029999999999999</v>
      </c>
      <c r="O138" s="1731"/>
      <c r="P138" s="1728">
        <f>+$P$3</f>
        <v>1.032</v>
      </c>
      <c r="Q138" s="1729">
        <f>+$Q$3</f>
        <v>1.0349999999999999</v>
      </c>
      <c r="R138" s="1732">
        <f t="shared" si="32"/>
        <v>1.1675459237447372</v>
      </c>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row>
    <row r="139" spans="1:247" x14ac:dyDescent="0.25">
      <c r="A139" s="4">
        <v>7235</v>
      </c>
      <c r="B139" s="9" t="s">
        <v>151</v>
      </c>
      <c r="C139" s="10" t="s">
        <v>11</v>
      </c>
      <c r="D139" s="1721" t="s">
        <v>3060</v>
      </c>
      <c r="E139" s="1728"/>
      <c r="F139" s="1723">
        <f t="shared" si="31"/>
        <v>1.0209999999999999</v>
      </c>
      <c r="G139" s="1729"/>
      <c r="H139" s="1728"/>
      <c r="I139" s="1730"/>
      <c r="J139" s="1730"/>
      <c r="K139" s="1730"/>
      <c r="L139" s="1730"/>
      <c r="M139" s="1730"/>
      <c r="N139" s="1729"/>
      <c r="O139" s="1731"/>
      <c r="P139" s="1728"/>
      <c r="Q139" s="1729"/>
      <c r="R139" s="1732">
        <f t="shared" si="32"/>
        <v>1.0209999999999999</v>
      </c>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row>
    <row r="140" spans="1:247" x14ac:dyDescent="0.25">
      <c r="A140" s="4">
        <v>7241</v>
      </c>
      <c r="B140" s="9" t="s">
        <v>152</v>
      </c>
      <c r="C140" s="10" t="s">
        <v>9</v>
      </c>
      <c r="D140" s="1721" t="s">
        <v>3062</v>
      </c>
      <c r="E140" s="1728">
        <f t="shared" ref="E140:E145" si="33">+$E$3</f>
        <v>1.0740000000000001</v>
      </c>
      <c r="F140" s="1723">
        <f t="shared" si="31"/>
        <v>1.0209999999999999</v>
      </c>
      <c r="G140" s="1729">
        <f t="shared" ref="G140:G147" si="34">+$G$3</f>
        <v>1.0269999999999999</v>
      </c>
      <c r="H140" s="1728">
        <f t="shared" ref="H140:H147" si="35">+$H$3</f>
        <v>1.0029999999999999</v>
      </c>
      <c r="I140" s="1730">
        <f t="shared" ref="I140:I147" si="36">+$I$3</f>
        <v>1.0289999999999999</v>
      </c>
      <c r="J140" s="1730">
        <f t="shared" ref="J140:J147" si="37">+$J$3</f>
        <v>1.0049999999999999</v>
      </c>
      <c r="K140" s="1730">
        <f t="shared" ref="K140:K145" si="38">+$K$3</f>
        <v>1.026</v>
      </c>
      <c r="L140" s="1730">
        <f t="shared" ref="L140:L147" si="39">+$L$3</f>
        <v>1.0129999999999999</v>
      </c>
      <c r="M140" s="1730">
        <f t="shared" ref="M140:M147" si="40">+$M$3</f>
        <v>1.0029999999999999</v>
      </c>
      <c r="N140" s="1729">
        <f t="shared" ref="N140:N147" si="41">+$N$3</f>
        <v>1.0029999999999999</v>
      </c>
      <c r="O140" s="1731">
        <f t="shared" ref="O140:O145" si="42">+$O$3</f>
        <v>1.0209999999999999</v>
      </c>
      <c r="P140" s="1728">
        <f t="shared" ref="P140:P147" si="43">+$P$3</f>
        <v>1.032</v>
      </c>
      <c r="Q140" s="1729">
        <f t="shared" ref="Q140:Q147" si="44">+$Q$3</f>
        <v>1.0349999999999999</v>
      </c>
      <c r="R140" s="1732">
        <f t="shared" si="32"/>
        <v>1.3319480854780448</v>
      </c>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row>
    <row r="141" spans="1:247" x14ac:dyDescent="0.25">
      <c r="A141" s="4">
        <v>7242</v>
      </c>
      <c r="B141" s="9" t="s">
        <v>153</v>
      </c>
      <c r="C141" s="10" t="s">
        <v>9</v>
      </c>
      <c r="D141" s="1721" t="s">
        <v>3062</v>
      </c>
      <c r="E141" s="1728">
        <f t="shared" si="33"/>
        <v>1.0740000000000001</v>
      </c>
      <c r="F141" s="1723">
        <f t="shared" si="31"/>
        <v>1.0209999999999999</v>
      </c>
      <c r="G141" s="1729">
        <f t="shared" si="34"/>
        <v>1.0269999999999999</v>
      </c>
      <c r="H141" s="1728">
        <f t="shared" si="35"/>
        <v>1.0029999999999999</v>
      </c>
      <c r="I141" s="1730">
        <f t="shared" si="36"/>
        <v>1.0289999999999999</v>
      </c>
      <c r="J141" s="1730">
        <f t="shared" si="37"/>
        <v>1.0049999999999999</v>
      </c>
      <c r="K141" s="1730">
        <f t="shared" si="38"/>
        <v>1.026</v>
      </c>
      <c r="L141" s="1730">
        <f t="shared" si="39"/>
        <v>1.0129999999999999</v>
      </c>
      <c r="M141" s="1730">
        <f t="shared" si="40"/>
        <v>1.0029999999999999</v>
      </c>
      <c r="N141" s="1729">
        <f t="shared" si="41"/>
        <v>1.0029999999999999</v>
      </c>
      <c r="O141" s="1731">
        <f t="shared" si="42"/>
        <v>1.0209999999999999</v>
      </c>
      <c r="P141" s="1728">
        <f t="shared" si="43"/>
        <v>1.032</v>
      </c>
      <c r="Q141" s="1729">
        <f t="shared" si="44"/>
        <v>1.0349999999999999</v>
      </c>
      <c r="R141" s="1732">
        <f t="shared" si="32"/>
        <v>1.3319480854780448</v>
      </c>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row>
    <row r="142" spans="1:247" x14ac:dyDescent="0.25">
      <c r="A142" s="4">
        <v>7250</v>
      </c>
      <c r="B142" s="9" t="s">
        <v>154</v>
      </c>
      <c r="C142" s="10" t="s">
        <v>9</v>
      </c>
      <c r="D142" s="1721" t="s">
        <v>3062</v>
      </c>
      <c r="E142" s="1728">
        <f t="shared" si="33"/>
        <v>1.0740000000000001</v>
      </c>
      <c r="F142" s="1723">
        <f t="shared" si="31"/>
        <v>1.0209999999999999</v>
      </c>
      <c r="G142" s="1729">
        <f t="shared" si="34"/>
        <v>1.0269999999999999</v>
      </c>
      <c r="H142" s="1728">
        <f t="shared" si="35"/>
        <v>1.0029999999999999</v>
      </c>
      <c r="I142" s="1730">
        <f t="shared" si="36"/>
        <v>1.0289999999999999</v>
      </c>
      <c r="J142" s="1730">
        <f t="shared" si="37"/>
        <v>1.0049999999999999</v>
      </c>
      <c r="K142" s="1730">
        <f t="shared" si="38"/>
        <v>1.026</v>
      </c>
      <c r="L142" s="1730">
        <f t="shared" si="39"/>
        <v>1.0129999999999999</v>
      </c>
      <c r="M142" s="1730">
        <f t="shared" si="40"/>
        <v>1.0029999999999999</v>
      </c>
      <c r="N142" s="1729">
        <f t="shared" si="41"/>
        <v>1.0029999999999999</v>
      </c>
      <c r="O142" s="1731">
        <f t="shared" si="42"/>
        <v>1.0209999999999999</v>
      </c>
      <c r="P142" s="1728">
        <f t="shared" si="43"/>
        <v>1.032</v>
      </c>
      <c r="Q142" s="1729">
        <f t="shared" si="44"/>
        <v>1.0349999999999999</v>
      </c>
      <c r="R142" s="1732">
        <f t="shared" si="32"/>
        <v>1.3319480854780448</v>
      </c>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row>
    <row r="143" spans="1:247" x14ac:dyDescent="0.25">
      <c r="A143" s="4">
        <v>7312</v>
      </c>
      <c r="B143" s="9" t="s">
        <v>155</v>
      </c>
      <c r="C143" s="10" t="s">
        <v>9</v>
      </c>
      <c r="D143" s="1721" t="s">
        <v>3062</v>
      </c>
      <c r="E143" s="1728">
        <f t="shared" si="33"/>
        <v>1.0740000000000001</v>
      </c>
      <c r="F143" s="1723">
        <f t="shared" si="31"/>
        <v>1.0209999999999999</v>
      </c>
      <c r="G143" s="1729">
        <f t="shared" si="34"/>
        <v>1.0269999999999999</v>
      </c>
      <c r="H143" s="1728">
        <f t="shared" si="35"/>
        <v>1.0029999999999999</v>
      </c>
      <c r="I143" s="1730">
        <f t="shared" si="36"/>
        <v>1.0289999999999999</v>
      </c>
      <c r="J143" s="1730">
        <f t="shared" si="37"/>
        <v>1.0049999999999999</v>
      </c>
      <c r="K143" s="1730">
        <f t="shared" si="38"/>
        <v>1.026</v>
      </c>
      <c r="L143" s="1730">
        <f t="shared" si="39"/>
        <v>1.0129999999999999</v>
      </c>
      <c r="M143" s="1730">
        <f t="shared" si="40"/>
        <v>1.0029999999999999</v>
      </c>
      <c r="N143" s="1729">
        <f t="shared" si="41"/>
        <v>1.0029999999999999</v>
      </c>
      <c r="O143" s="1731">
        <f t="shared" si="42"/>
        <v>1.0209999999999999</v>
      </c>
      <c r="P143" s="1728">
        <f t="shared" si="43"/>
        <v>1.032</v>
      </c>
      <c r="Q143" s="1729">
        <f t="shared" si="44"/>
        <v>1.0349999999999999</v>
      </c>
      <c r="R143" s="1732">
        <f t="shared" si="32"/>
        <v>1.3319480854780448</v>
      </c>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row>
    <row r="144" spans="1:247" x14ac:dyDescent="0.25">
      <c r="A144" s="4">
        <v>7313</v>
      </c>
      <c r="B144" s="9" t="s">
        <v>156</v>
      </c>
      <c r="C144" s="10" t="s">
        <v>9</v>
      </c>
      <c r="D144" s="1721" t="s">
        <v>3062</v>
      </c>
      <c r="E144" s="1728">
        <f t="shared" si="33"/>
        <v>1.0740000000000001</v>
      </c>
      <c r="F144" s="1723">
        <f t="shared" si="31"/>
        <v>1.0209999999999999</v>
      </c>
      <c r="G144" s="1729">
        <f t="shared" si="34"/>
        <v>1.0269999999999999</v>
      </c>
      <c r="H144" s="1728">
        <f t="shared" si="35"/>
        <v>1.0029999999999999</v>
      </c>
      <c r="I144" s="1730">
        <f t="shared" si="36"/>
        <v>1.0289999999999999</v>
      </c>
      <c r="J144" s="1730">
        <f t="shared" si="37"/>
        <v>1.0049999999999999</v>
      </c>
      <c r="K144" s="1730">
        <f t="shared" si="38"/>
        <v>1.026</v>
      </c>
      <c r="L144" s="1730">
        <f t="shared" si="39"/>
        <v>1.0129999999999999</v>
      </c>
      <c r="M144" s="1730">
        <f t="shared" si="40"/>
        <v>1.0029999999999999</v>
      </c>
      <c r="N144" s="1729">
        <f t="shared" si="41"/>
        <v>1.0029999999999999</v>
      </c>
      <c r="O144" s="1731">
        <f t="shared" si="42"/>
        <v>1.0209999999999999</v>
      </c>
      <c r="P144" s="1728">
        <f t="shared" si="43"/>
        <v>1.032</v>
      </c>
      <c r="Q144" s="1729">
        <f t="shared" si="44"/>
        <v>1.0349999999999999</v>
      </c>
      <c r="R144" s="1732">
        <f t="shared" si="32"/>
        <v>1.3319480854780448</v>
      </c>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row>
    <row r="145" spans="1:247" x14ac:dyDescent="0.25">
      <c r="A145" s="4">
        <v>7314</v>
      </c>
      <c r="B145" s="9" t="s">
        <v>157</v>
      </c>
      <c r="C145" s="10" t="s">
        <v>9</v>
      </c>
      <c r="D145" s="1721" t="s">
        <v>3062</v>
      </c>
      <c r="E145" s="1728">
        <f t="shared" si="33"/>
        <v>1.0740000000000001</v>
      </c>
      <c r="F145" s="1723">
        <f t="shared" si="31"/>
        <v>1.0209999999999999</v>
      </c>
      <c r="G145" s="1729">
        <f t="shared" si="34"/>
        <v>1.0269999999999999</v>
      </c>
      <c r="H145" s="1728">
        <f t="shared" si="35"/>
        <v>1.0029999999999999</v>
      </c>
      <c r="I145" s="1730">
        <f t="shared" si="36"/>
        <v>1.0289999999999999</v>
      </c>
      <c r="J145" s="1730">
        <f t="shared" si="37"/>
        <v>1.0049999999999999</v>
      </c>
      <c r="K145" s="1730">
        <f t="shared" si="38"/>
        <v>1.026</v>
      </c>
      <c r="L145" s="1730">
        <f t="shared" si="39"/>
        <v>1.0129999999999999</v>
      </c>
      <c r="M145" s="1730">
        <f t="shared" si="40"/>
        <v>1.0029999999999999</v>
      </c>
      <c r="N145" s="1729">
        <f t="shared" si="41"/>
        <v>1.0029999999999999</v>
      </c>
      <c r="O145" s="1731">
        <f t="shared" si="42"/>
        <v>1.0209999999999999</v>
      </c>
      <c r="P145" s="1728">
        <f t="shared" si="43"/>
        <v>1.032</v>
      </c>
      <c r="Q145" s="1729">
        <f t="shared" si="44"/>
        <v>1.0349999999999999</v>
      </c>
      <c r="R145" s="1732">
        <f t="shared" si="32"/>
        <v>1.3319480854780448</v>
      </c>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row>
    <row r="146" spans="1:247" x14ac:dyDescent="0.25">
      <c r="A146" s="4">
        <v>7321</v>
      </c>
      <c r="B146" s="9" t="s">
        <v>158</v>
      </c>
      <c r="C146" s="10" t="s">
        <v>9</v>
      </c>
      <c r="D146" s="1721" t="s">
        <v>3062</v>
      </c>
      <c r="E146" s="1728"/>
      <c r="F146" s="1723">
        <f t="shared" si="31"/>
        <v>1.0209999999999999</v>
      </c>
      <c r="G146" s="1729">
        <f t="shared" si="34"/>
        <v>1.0269999999999999</v>
      </c>
      <c r="H146" s="1728">
        <f t="shared" si="35"/>
        <v>1.0029999999999999</v>
      </c>
      <c r="I146" s="1730">
        <f t="shared" si="36"/>
        <v>1.0289999999999999</v>
      </c>
      <c r="J146" s="1730">
        <f t="shared" si="37"/>
        <v>1.0049999999999999</v>
      </c>
      <c r="K146" s="1730"/>
      <c r="L146" s="1730">
        <f t="shared" si="39"/>
        <v>1.0129999999999999</v>
      </c>
      <c r="M146" s="1730">
        <f t="shared" si="40"/>
        <v>1.0029999999999999</v>
      </c>
      <c r="N146" s="1729">
        <f t="shared" si="41"/>
        <v>1.0029999999999999</v>
      </c>
      <c r="O146" s="1731"/>
      <c r="P146" s="1728">
        <f t="shared" si="43"/>
        <v>1.032</v>
      </c>
      <c r="Q146" s="1729">
        <f t="shared" si="44"/>
        <v>1.0349999999999999</v>
      </c>
      <c r="R146" s="1732">
        <f t="shared" si="32"/>
        <v>1.1838860786480316</v>
      </c>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row>
    <row r="147" spans="1:247" x14ac:dyDescent="0.25">
      <c r="A147" s="4">
        <v>7322</v>
      </c>
      <c r="B147" s="9" t="s">
        <v>159</v>
      </c>
      <c r="C147" s="10" t="s">
        <v>9</v>
      </c>
      <c r="D147" s="1721" t="s">
        <v>3062</v>
      </c>
      <c r="E147" s="1728"/>
      <c r="F147" s="1723">
        <f t="shared" si="31"/>
        <v>1.0209999999999999</v>
      </c>
      <c r="G147" s="1729">
        <f t="shared" si="34"/>
        <v>1.0269999999999999</v>
      </c>
      <c r="H147" s="1728">
        <f t="shared" si="35"/>
        <v>1.0029999999999999</v>
      </c>
      <c r="I147" s="1730">
        <f t="shared" si="36"/>
        <v>1.0289999999999999</v>
      </c>
      <c r="J147" s="1730">
        <f t="shared" si="37"/>
        <v>1.0049999999999999</v>
      </c>
      <c r="K147" s="1730"/>
      <c r="L147" s="1730">
        <f t="shared" si="39"/>
        <v>1.0129999999999999</v>
      </c>
      <c r="M147" s="1730">
        <f t="shared" si="40"/>
        <v>1.0029999999999999</v>
      </c>
      <c r="N147" s="1729">
        <f t="shared" si="41"/>
        <v>1.0029999999999999</v>
      </c>
      <c r="O147" s="1731"/>
      <c r="P147" s="1728">
        <f t="shared" si="43"/>
        <v>1.032</v>
      </c>
      <c r="Q147" s="1729">
        <f t="shared" si="44"/>
        <v>1.0349999999999999</v>
      </c>
      <c r="R147" s="1732">
        <f t="shared" si="32"/>
        <v>1.1838860786480316</v>
      </c>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row>
    <row r="148" spans="1:247" x14ac:dyDescent="0.25">
      <c r="A148" s="4">
        <v>7323</v>
      </c>
      <c r="B148" s="9" t="s">
        <v>160</v>
      </c>
      <c r="C148" s="10" t="s">
        <v>9</v>
      </c>
      <c r="D148" s="1721" t="s">
        <v>3062</v>
      </c>
      <c r="E148" s="1728"/>
      <c r="F148" s="1723">
        <f t="shared" si="31"/>
        <v>1.0209999999999999</v>
      </c>
      <c r="G148" s="1729"/>
      <c r="H148" s="1728"/>
      <c r="I148" s="1730"/>
      <c r="J148" s="1730"/>
      <c r="K148" s="1730"/>
      <c r="L148" s="1730"/>
      <c r="M148" s="1730"/>
      <c r="N148" s="1729"/>
      <c r="O148" s="1731"/>
      <c r="P148" s="1728"/>
      <c r="Q148" s="1729"/>
      <c r="R148" s="1732">
        <f t="shared" si="32"/>
        <v>1.0209999999999999</v>
      </c>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row>
    <row r="149" spans="1:247" x14ac:dyDescent="0.25">
      <c r="A149" s="4">
        <v>7331</v>
      </c>
      <c r="B149" s="9" t="s">
        <v>161</v>
      </c>
      <c r="C149" s="10" t="s">
        <v>9</v>
      </c>
      <c r="D149" s="1721" t="s">
        <v>3062</v>
      </c>
      <c r="E149" s="1728">
        <f>+$E$3</f>
        <v>1.0740000000000001</v>
      </c>
      <c r="F149" s="1723">
        <f t="shared" si="31"/>
        <v>1.0209999999999999</v>
      </c>
      <c r="G149" s="1729">
        <f>+$G$3</f>
        <v>1.0269999999999999</v>
      </c>
      <c r="H149" s="1728"/>
      <c r="I149" s="1730"/>
      <c r="J149" s="1730">
        <f>+$J$3</f>
        <v>1.0049999999999999</v>
      </c>
      <c r="K149" s="1730">
        <f>+$K$3</f>
        <v>1.026</v>
      </c>
      <c r="L149" s="1730">
        <f>+$L$3</f>
        <v>1.0129999999999999</v>
      </c>
      <c r="M149" s="1730">
        <f>+$M$3</f>
        <v>1.0029999999999999</v>
      </c>
      <c r="N149" s="1729">
        <f t="shared" ref="N149:N160" si="45">+$N$3</f>
        <v>1.0029999999999999</v>
      </c>
      <c r="O149" s="1731">
        <f>+$O$3</f>
        <v>1.0209999999999999</v>
      </c>
      <c r="P149" s="1728">
        <f>+$P$3</f>
        <v>1.032</v>
      </c>
      <c r="Q149" s="1729">
        <f>+$Q$3</f>
        <v>1.0349999999999999</v>
      </c>
      <c r="R149" s="1732">
        <f t="shared" si="32"/>
        <v>1.290538574246207</v>
      </c>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row>
    <row r="150" spans="1:247" x14ac:dyDescent="0.25">
      <c r="A150" s="4">
        <v>7333</v>
      </c>
      <c r="B150" s="9" t="s">
        <v>162</v>
      </c>
      <c r="C150" s="10" t="s">
        <v>9</v>
      </c>
      <c r="D150" s="1721" t="s">
        <v>3062</v>
      </c>
      <c r="E150" s="1728">
        <f>+$E$3</f>
        <v>1.0740000000000001</v>
      </c>
      <c r="F150" s="1723">
        <f t="shared" si="31"/>
        <v>1.0209999999999999</v>
      </c>
      <c r="G150" s="1729">
        <f>+$G$3</f>
        <v>1.0269999999999999</v>
      </c>
      <c r="H150" s="1728">
        <f>+$H$3</f>
        <v>1.0029999999999999</v>
      </c>
      <c r="I150" s="1730">
        <f>+$I$3</f>
        <v>1.0289999999999999</v>
      </c>
      <c r="J150" s="1730">
        <f>+$J$3</f>
        <v>1.0049999999999999</v>
      </c>
      <c r="K150" s="1730">
        <f>+$K$3</f>
        <v>1.026</v>
      </c>
      <c r="L150" s="1730">
        <f>+$L$3</f>
        <v>1.0129999999999999</v>
      </c>
      <c r="M150" s="1730">
        <f>+$M$3</f>
        <v>1.0029999999999999</v>
      </c>
      <c r="N150" s="1729">
        <f t="shared" si="45"/>
        <v>1.0029999999999999</v>
      </c>
      <c r="O150" s="1731">
        <f>+$O$3</f>
        <v>1.0209999999999999</v>
      </c>
      <c r="P150" s="1728">
        <f>+$P$3</f>
        <v>1.032</v>
      </c>
      <c r="Q150" s="1729">
        <f>+$Q$3</f>
        <v>1.0349999999999999</v>
      </c>
      <c r="R150" s="1732">
        <f t="shared" si="32"/>
        <v>1.3319480854780448</v>
      </c>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row>
    <row r="151" spans="1:247" x14ac:dyDescent="0.25">
      <c r="A151" s="4">
        <v>7340</v>
      </c>
      <c r="B151" s="9" t="s">
        <v>163</v>
      </c>
      <c r="C151" s="10" t="s">
        <v>9</v>
      </c>
      <c r="D151" s="1721" t="s">
        <v>3062</v>
      </c>
      <c r="E151" s="1728"/>
      <c r="F151" s="1723">
        <f t="shared" si="31"/>
        <v>1.0209999999999999</v>
      </c>
      <c r="G151" s="1729"/>
      <c r="H151" s="1728"/>
      <c r="I151" s="1730"/>
      <c r="J151" s="1730">
        <f>+$J$3</f>
        <v>1.0049999999999999</v>
      </c>
      <c r="K151" s="1730"/>
      <c r="L151" s="1730"/>
      <c r="M151" s="1730"/>
      <c r="N151" s="1729">
        <f t="shared" si="45"/>
        <v>1.0029999999999999</v>
      </c>
      <c r="O151" s="1731"/>
      <c r="P151" s="1728"/>
      <c r="Q151" s="1729"/>
      <c r="R151" s="1732">
        <f t="shared" si="32"/>
        <v>1.0291833149999998</v>
      </c>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row>
    <row r="152" spans="1:247" x14ac:dyDescent="0.25">
      <c r="A152" s="4">
        <v>7341</v>
      </c>
      <c r="B152" s="9" t="s">
        <v>164</v>
      </c>
      <c r="C152" s="10" t="s">
        <v>9</v>
      </c>
      <c r="D152" s="1721" t="s">
        <v>3062</v>
      </c>
      <c r="E152" s="1728"/>
      <c r="F152" s="1723">
        <f t="shared" si="31"/>
        <v>1.0209999999999999</v>
      </c>
      <c r="G152" s="1729"/>
      <c r="H152" s="1728">
        <f>+$H$3</f>
        <v>1.0029999999999999</v>
      </c>
      <c r="I152" s="1730">
        <f>+$I$3</f>
        <v>1.0289999999999999</v>
      </c>
      <c r="J152" s="1730">
        <f>+$J$3</f>
        <v>1.0049999999999999</v>
      </c>
      <c r="K152" s="1730"/>
      <c r="L152" s="1730"/>
      <c r="M152" s="1730"/>
      <c r="N152" s="1729">
        <f t="shared" si="45"/>
        <v>1.0029999999999999</v>
      </c>
      <c r="O152" s="1731"/>
      <c r="P152" s="1728">
        <f t="shared" ref="P152:P160" si="46">+$P$3</f>
        <v>1.032</v>
      </c>
      <c r="Q152" s="1729">
        <f t="shared" ref="Q152:Q160" si="47">+$Q$3</f>
        <v>1.0349999999999999</v>
      </c>
      <c r="R152" s="1732">
        <f t="shared" si="32"/>
        <v>1.1345642417967394</v>
      </c>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row>
    <row r="153" spans="1:247" x14ac:dyDescent="0.25">
      <c r="A153" s="4">
        <v>7342</v>
      </c>
      <c r="B153" s="9" t="s">
        <v>165</v>
      </c>
      <c r="C153" s="10" t="s">
        <v>9</v>
      </c>
      <c r="D153" s="1721" t="s">
        <v>3062</v>
      </c>
      <c r="E153" s="1728"/>
      <c r="F153" s="1723">
        <f t="shared" si="31"/>
        <v>1.0209999999999999</v>
      </c>
      <c r="G153" s="1729"/>
      <c r="H153" s="1728"/>
      <c r="I153" s="1730"/>
      <c r="J153" s="1730"/>
      <c r="K153" s="1730"/>
      <c r="L153" s="1730">
        <f>+$L$3</f>
        <v>1.0129999999999999</v>
      </c>
      <c r="M153" s="1730">
        <f>+$M$3</f>
        <v>1.0029999999999999</v>
      </c>
      <c r="N153" s="1729">
        <f t="shared" si="45"/>
        <v>1.0029999999999999</v>
      </c>
      <c r="O153" s="1731"/>
      <c r="P153" s="1728">
        <f t="shared" si="46"/>
        <v>1.032</v>
      </c>
      <c r="Q153" s="1729">
        <f t="shared" si="47"/>
        <v>1.0349999999999999</v>
      </c>
      <c r="R153" s="1732">
        <f t="shared" si="32"/>
        <v>1.1113659853696505</v>
      </c>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row>
    <row r="154" spans="1:247" x14ac:dyDescent="0.25">
      <c r="A154" s="4">
        <v>7344</v>
      </c>
      <c r="B154" s="9" t="s">
        <v>166</v>
      </c>
      <c r="C154" s="10" t="s">
        <v>9</v>
      </c>
      <c r="D154" s="1721" t="s">
        <v>3062</v>
      </c>
      <c r="E154" s="1728">
        <f>+$E$3</f>
        <v>1.0740000000000001</v>
      </c>
      <c r="F154" s="1723">
        <f t="shared" si="31"/>
        <v>1.0209999999999999</v>
      </c>
      <c r="G154" s="1729">
        <f>+$G$3</f>
        <v>1.0269999999999999</v>
      </c>
      <c r="H154" s="1728">
        <f>+$H$3</f>
        <v>1.0029999999999999</v>
      </c>
      <c r="I154" s="1730">
        <f>+$I$3</f>
        <v>1.0289999999999999</v>
      </c>
      <c r="J154" s="1730">
        <f>+$J$3</f>
        <v>1.0049999999999999</v>
      </c>
      <c r="K154" s="1730">
        <f>+$K$3</f>
        <v>1.026</v>
      </c>
      <c r="L154" s="1730">
        <f>+$L$3</f>
        <v>1.0129999999999999</v>
      </c>
      <c r="M154" s="1730">
        <f>+$M$3</f>
        <v>1.0029999999999999</v>
      </c>
      <c r="N154" s="1729">
        <f t="shared" si="45"/>
        <v>1.0029999999999999</v>
      </c>
      <c r="O154" s="1731">
        <f>+$O$3</f>
        <v>1.0209999999999999</v>
      </c>
      <c r="P154" s="1728">
        <f t="shared" si="46"/>
        <v>1.032</v>
      </c>
      <c r="Q154" s="1729">
        <f t="shared" si="47"/>
        <v>1.0349999999999999</v>
      </c>
      <c r="R154" s="1732">
        <f t="shared" si="32"/>
        <v>1.3319480854780448</v>
      </c>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row>
    <row r="155" spans="1:247" x14ac:dyDescent="0.25">
      <c r="A155" s="4">
        <v>7345</v>
      </c>
      <c r="B155" s="9" t="s">
        <v>167</v>
      </c>
      <c r="C155" s="10" t="s">
        <v>9</v>
      </c>
      <c r="D155" s="1721" t="s">
        <v>3062</v>
      </c>
      <c r="E155" s="1728"/>
      <c r="F155" s="1723">
        <f t="shared" si="31"/>
        <v>1.0209999999999999</v>
      </c>
      <c r="G155" s="1729">
        <f>+$G$3</f>
        <v>1.0269999999999999</v>
      </c>
      <c r="H155" s="1728">
        <f>+$H$3</f>
        <v>1.0029999999999999</v>
      </c>
      <c r="I155" s="1730">
        <f>+$I$3</f>
        <v>1.0289999999999999</v>
      </c>
      <c r="J155" s="1730">
        <f>+$J$3</f>
        <v>1.0049999999999999</v>
      </c>
      <c r="K155" s="1730"/>
      <c r="L155" s="1730"/>
      <c r="M155" s="1730"/>
      <c r="N155" s="1729">
        <f t="shared" si="45"/>
        <v>1.0029999999999999</v>
      </c>
      <c r="O155" s="1731"/>
      <c r="P155" s="1728">
        <f t="shared" si="46"/>
        <v>1.032</v>
      </c>
      <c r="Q155" s="1729">
        <f t="shared" si="47"/>
        <v>1.0349999999999999</v>
      </c>
      <c r="R155" s="1732">
        <f t="shared" si="32"/>
        <v>1.1651974763252515</v>
      </c>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row>
    <row r="156" spans="1:247" x14ac:dyDescent="0.25">
      <c r="A156" s="4">
        <v>7346</v>
      </c>
      <c r="B156" s="9" t="s">
        <v>168</v>
      </c>
      <c r="C156" s="10" t="s">
        <v>9</v>
      </c>
      <c r="D156" s="1721" t="s">
        <v>3062</v>
      </c>
      <c r="E156" s="1728"/>
      <c r="F156" s="1723">
        <f t="shared" si="31"/>
        <v>1.0209999999999999</v>
      </c>
      <c r="G156" s="1729">
        <f>+$G$3</f>
        <v>1.0269999999999999</v>
      </c>
      <c r="H156" s="1728">
        <f>+$H$3</f>
        <v>1.0029999999999999</v>
      </c>
      <c r="I156" s="1730">
        <f>+$I$3</f>
        <v>1.0289999999999999</v>
      </c>
      <c r="J156" s="1730">
        <f>+$J$3</f>
        <v>1.0049999999999999</v>
      </c>
      <c r="K156" s="1730">
        <f>+$K$3</f>
        <v>1.026</v>
      </c>
      <c r="L156" s="1730">
        <f>+$L$3</f>
        <v>1.0129999999999999</v>
      </c>
      <c r="M156" s="1730">
        <f>+$M$3</f>
        <v>1.0029999999999999</v>
      </c>
      <c r="N156" s="1729">
        <f t="shared" si="45"/>
        <v>1.0029999999999999</v>
      </c>
      <c r="O156" s="1731"/>
      <c r="P156" s="1728">
        <f t="shared" si="46"/>
        <v>1.032</v>
      </c>
      <c r="Q156" s="1729">
        <f t="shared" si="47"/>
        <v>1.0349999999999999</v>
      </c>
      <c r="R156" s="1732">
        <f t="shared" si="32"/>
        <v>1.2146671166928804</v>
      </c>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row>
    <row r="157" spans="1:247" x14ac:dyDescent="0.25">
      <c r="A157" s="4">
        <v>7347</v>
      </c>
      <c r="B157" s="9" t="s">
        <v>169</v>
      </c>
      <c r="C157" s="10" t="s">
        <v>9</v>
      </c>
      <c r="D157" s="1721" t="s">
        <v>3062</v>
      </c>
      <c r="E157" s="1728">
        <f>+$E$3</f>
        <v>1.0740000000000001</v>
      </c>
      <c r="F157" s="1723">
        <f t="shared" si="31"/>
        <v>1.0209999999999999</v>
      </c>
      <c r="G157" s="1729">
        <f>+$G$3</f>
        <v>1.0269999999999999</v>
      </c>
      <c r="H157" s="1728">
        <f>+$H$3</f>
        <v>1.0029999999999999</v>
      </c>
      <c r="I157" s="1730">
        <f>+$I$3</f>
        <v>1.0289999999999999</v>
      </c>
      <c r="J157" s="1730">
        <f>+$J$3</f>
        <v>1.0049999999999999</v>
      </c>
      <c r="K157" s="1730">
        <f>+$K$3</f>
        <v>1.026</v>
      </c>
      <c r="L157" s="1730"/>
      <c r="M157" s="1730">
        <f>+$M$3</f>
        <v>1.0029999999999999</v>
      </c>
      <c r="N157" s="1729">
        <f t="shared" si="45"/>
        <v>1.0029999999999999</v>
      </c>
      <c r="O157" s="1731">
        <f>+$O$3</f>
        <v>1.0209999999999999</v>
      </c>
      <c r="P157" s="1728">
        <f t="shared" si="46"/>
        <v>1.032</v>
      </c>
      <c r="Q157" s="1729">
        <f t="shared" si="47"/>
        <v>1.0349999999999999</v>
      </c>
      <c r="R157" s="1732">
        <f t="shared" si="32"/>
        <v>1.3148549708569053</v>
      </c>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row>
    <row r="158" spans="1:247" x14ac:dyDescent="0.25">
      <c r="A158" s="4">
        <v>7348</v>
      </c>
      <c r="B158" s="9" t="s">
        <v>170</v>
      </c>
      <c r="C158" s="10" t="s">
        <v>9</v>
      </c>
      <c r="D158" s="1721" t="s">
        <v>3062</v>
      </c>
      <c r="E158" s="1728"/>
      <c r="F158" s="1723">
        <f t="shared" si="31"/>
        <v>1.0209999999999999</v>
      </c>
      <c r="G158" s="1729"/>
      <c r="H158" s="1728"/>
      <c r="I158" s="1730"/>
      <c r="J158" s="1730"/>
      <c r="K158" s="1730"/>
      <c r="L158" s="1730">
        <f>+$L$3</f>
        <v>1.0129999999999999</v>
      </c>
      <c r="M158" s="1730"/>
      <c r="N158" s="1729">
        <f t="shared" si="45"/>
        <v>1.0029999999999999</v>
      </c>
      <c r="O158" s="1731"/>
      <c r="P158" s="1728">
        <f t="shared" si="46"/>
        <v>1.032</v>
      </c>
      <c r="Q158" s="1729">
        <f t="shared" si="47"/>
        <v>1.0349999999999999</v>
      </c>
      <c r="R158" s="1732">
        <f t="shared" si="32"/>
        <v>1.1080418597902797</v>
      </c>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row>
    <row r="159" spans="1:247" x14ac:dyDescent="0.25">
      <c r="A159" s="4">
        <v>7349</v>
      </c>
      <c r="B159" s="9" t="s">
        <v>171</v>
      </c>
      <c r="C159" s="10" t="s">
        <v>9</v>
      </c>
      <c r="D159" s="1721" t="s">
        <v>3062</v>
      </c>
      <c r="E159" s="1728">
        <f>+$E$3</f>
        <v>1.0740000000000001</v>
      </c>
      <c r="F159" s="1723">
        <f t="shared" si="31"/>
        <v>1.0209999999999999</v>
      </c>
      <c r="G159" s="1729">
        <f>+$G$3</f>
        <v>1.0269999999999999</v>
      </c>
      <c r="H159" s="1728">
        <f>+$H$3</f>
        <v>1.0029999999999999</v>
      </c>
      <c r="I159" s="1730">
        <f>+$I$3</f>
        <v>1.0289999999999999</v>
      </c>
      <c r="J159" s="1730">
        <f>+$J$3</f>
        <v>1.0049999999999999</v>
      </c>
      <c r="K159" s="1730"/>
      <c r="L159" s="1730">
        <f>+$L$3</f>
        <v>1.0129999999999999</v>
      </c>
      <c r="M159" s="1730">
        <f>+$M$3</f>
        <v>1.0029999999999999</v>
      </c>
      <c r="N159" s="1729">
        <f t="shared" si="45"/>
        <v>1.0029999999999999</v>
      </c>
      <c r="O159" s="1731">
        <f>+$O$3</f>
        <v>1.0209999999999999</v>
      </c>
      <c r="P159" s="1728">
        <f t="shared" si="46"/>
        <v>1.032</v>
      </c>
      <c r="Q159" s="1729">
        <f t="shared" si="47"/>
        <v>1.0349999999999999</v>
      </c>
      <c r="R159" s="1732">
        <f t="shared" si="32"/>
        <v>1.2981950150858137</v>
      </c>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row>
    <row r="160" spans="1:247" x14ac:dyDescent="0.25">
      <c r="A160" s="4">
        <v>7351</v>
      </c>
      <c r="B160" s="9" t="s">
        <v>172</v>
      </c>
      <c r="C160" s="10" t="s">
        <v>9</v>
      </c>
      <c r="D160" s="1721" t="s">
        <v>3062</v>
      </c>
      <c r="E160" s="1728">
        <f>+$E$3</f>
        <v>1.0740000000000001</v>
      </c>
      <c r="F160" s="1723">
        <f t="shared" si="31"/>
        <v>1.0209999999999999</v>
      </c>
      <c r="G160" s="1729">
        <f>+$G$3</f>
        <v>1.0269999999999999</v>
      </c>
      <c r="H160" s="1728">
        <f>+$H$3</f>
        <v>1.0029999999999999</v>
      </c>
      <c r="I160" s="1730">
        <f>+$I$3</f>
        <v>1.0289999999999999</v>
      </c>
      <c r="J160" s="1730">
        <f>+$J$3</f>
        <v>1.0049999999999999</v>
      </c>
      <c r="K160" s="1730">
        <f>+$K$3</f>
        <v>1.026</v>
      </c>
      <c r="L160" s="1730">
        <f>+$L$3</f>
        <v>1.0129999999999999</v>
      </c>
      <c r="M160" s="1730">
        <f>+$M$3</f>
        <v>1.0029999999999999</v>
      </c>
      <c r="N160" s="1729">
        <f t="shared" si="45"/>
        <v>1.0029999999999999</v>
      </c>
      <c r="O160" s="1731">
        <f>+$O$3</f>
        <v>1.0209999999999999</v>
      </c>
      <c r="P160" s="1728">
        <f t="shared" si="46"/>
        <v>1.032</v>
      </c>
      <c r="Q160" s="1729">
        <f t="shared" si="47"/>
        <v>1.0349999999999999</v>
      </c>
      <c r="R160" s="1732">
        <f t="shared" si="32"/>
        <v>1.3319480854780448</v>
      </c>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row>
    <row r="161" spans="1:247" x14ac:dyDescent="0.25">
      <c r="A161" s="4">
        <v>7354</v>
      </c>
      <c r="B161" s="9" t="s">
        <v>173</v>
      </c>
      <c r="C161" s="10" t="s">
        <v>11</v>
      </c>
      <c r="D161" s="1721" t="s">
        <v>3060</v>
      </c>
      <c r="E161" s="1728"/>
      <c r="F161" s="1723">
        <f t="shared" si="31"/>
        <v>1.0209999999999999</v>
      </c>
      <c r="G161" s="1729"/>
      <c r="H161" s="1728"/>
      <c r="I161" s="1730"/>
      <c r="J161" s="1730"/>
      <c r="K161" s="1730"/>
      <c r="L161" s="1730"/>
      <c r="M161" s="1730"/>
      <c r="N161" s="1729"/>
      <c r="O161" s="1731"/>
      <c r="P161" s="1728"/>
      <c r="Q161" s="1729"/>
      <c r="R161" s="1732">
        <f t="shared" si="32"/>
        <v>1.0209999999999999</v>
      </c>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row>
    <row r="162" spans="1:247" x14ac:dyDescent="0.25">
      <c r="A162" s="4">
        <v>7362</v>
      </c>
      <c r="B162" s="9" t="s">
        <v>174</v>
      </c>
      <c r="C162" s="10" t="s">
        <v>9</v>
      </c>
      <c r="D162" s="1721" t="s">
        <v>3062</v>
      </c>
      <c r="E162" s="1728">
        <f>+$E$3</f>
        <v>1.0740000000000001</v>
      </c>
      <c r="F162" s="1723">
        <f t="shared" si="31"/>
        <v>1.0209999999999999</v>
      </c>
      <c r="G162" s="1729">
        <f>+$G$3</f>
        <v>1.0269999999999999</v>
      </c>
      <c r="H162" s="1728">
        <f>+$H$3</f>
        <v>1.0029999999999999</v>
      </c>
      <c r="I162" s="1730">
        <f>+$I$3</f>
        <v>1.0289999999999999</v>
      </c>
      <c r="J162" s="1730">
        <f>+$J$3</f>
        <v>1.0049999999999999</v>
      </c>
      <c r="K162" s="1730">
        <f>+$K$3</f>
        <v>1.026</v>
      </c>
      <c r="L162" s="1730">
        <f>+$L$3</f>
        <v>1.0129999999999999</v>
      </c>
      <c r="M162" s="1730">
        <f>+$M$3</f>
        <v>1.0029999999999999</v>
      </c>
      <c r="N162" s="1729">
        <f>+$N$3</f>
        <v>1.0029999999999999</v>
      </c>
      <c r="O162" s="1731"/>
      <c r="P162" s="1728">
        <f>+$P$3</f>
        <v>1.032</v>
      </c>
      <c r="Q162" s="1729">
        <f>+$Q$3</f>
        <v>1.0349999999999999</v>
      </c>
      <c r="R162" s="1732">
        <f t="shared" si="32"/>
        <v>1.3045524833281539</v>
      </c>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row>
    <row r="163" spans="1:247" x14ac:dyDescent="0.25">
      <c r="A163" s="4">
        <v>7372</v>
      </c>
      <c r="B163" s="9" t="s">
        <v>175</v>
      </c>
      <c r="C163" s="10" t="s">
        <v>9</v>
      </c>
      <c r="D163" s="1721" t="s">
        <v>3062</v>
      </c>
      <c r="E163" s="1728">
        <f>+$E$3</f>
        <v>1.0740000000000001</v>
      </c>
      <c r="F163" s="1723">
        <f t="shared" si="31"/>
        <v>1.0209999999999999</v>
      </c>
      <c r="G163" s="1729">
        <f>+$G$3</f>
        <v>1.0269999999999999</v>
      </c>
      <c r="H163" s="1728">
        <f>+$H$3</f>
        <v>1.0029999999999999</v>
      </c>
      <c r="I163" s="1730">
        <f>+$I$3</f>
        <v>1.0289999999999999</v>
      </c>
      <c r="J163" s="1730">
        <f>+$J$3</f>
        <v>1.0049999999999999</v>
      </c>
      <c r="K163" s="1730">
        <f>+$K$3</f>
        <v>1.026</v>
      </c>
      <c r="L163" s="1730">
        <f>+$L$3</f>
        <v>1.0129999999999999</v>
      </c>
      <c r="M163" s="1730">
        <f>+$M$3</f>
        <v>1.0029999999999999</v>
      </c>
      <c r="N163" s="1729">
        <f>+$N$3</f>
        <v>1.0029999999999999</v>
      </c>
      <c r="O163" s="1731">
        <f>+$O$3</f>
        <v>1.0209999999999999</v>
      </c>
      <c r="P163" s="1728">
        <f>+$P$3</f>
        <v>1.032</v>
      </c>
      <c r="Q163" s="1729">
        <f>+$Q$3</f>
        <v>1.0349999999999999</v>
      </c>
      <c r="R163" s="1732">
        <f t="shared" si="32"/>
        <v>1.3319480854780448</v>
      </c>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row>
    <row r="164" spans="1:247" x14ac:dyDescent="0.25">
      <c r="A164" s="4">
        <v>7381</v>
      </c>
      <c r="B164" s="9" t="s">
        <v>176</v>
      </c>
      <c r="C164" s="10" t="s">
        <v>9</v>
      </c>
      <c r="D164" s="1721" t="s">
        <v>3062</v>
      </c>
      <c r="E164" s="1728"/>
      <c r="F164" s="1723">
        <f t="shared" si="31"/>
        <v>1.0209999999999999</v>
      </c>
      <c r="G164" s="1729"/>
      <c r="H164" s="1728"/>
      <c r="I164" s="1730"/>
      <c r="J164" s="1730"/>
      <c r="K164" s="1730"/>
      <c r="L164" s="1730"/>
      <c r="M164" s="1730"/>
      <c r="N164" s="1729"/>
      <c r="O164" s="1731"/>
      <c r="P164" s="1728"/>
      <c r="Q164" s="1729"/>
      <c r="R164" s="1732">
        <f t="shared" si="32"/>
        <v>1.0209999999999999</v>
      </c>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row>
    <row r="165" spans="1:247" x14ac:dyDescent="0.25">
      <c r="A165" s="4">
        <v>7382</v>
      </c>
      <c r="B165" s="9" t="s">
        <v>177</v>
      </c>
      <c r="C165" s="10" t="s">
        <v>9</v>
      </c>
      <c r="D165" s="1721" t="s">
        <v>3062</v>
      </c>
      <c r="E165" s="1728"/>
      <c r="F165" s="1723">
        <f t="shared" si="31"/>
        <v>1.0209999999999999</v>
      </c>
      <c r="G165" s="1729"/>
      <c r="H165" s="1728"/>
      <c r="I165" s="1730"/>
      <c r="J165" s="1730"/>
      <c r="K165" s="1730"/>
      <c r="L165" s="1730"/>
      <c r="M165" s="1730"/>
      <c r="N165" s="1729"/>
      <c r="O165" s="1731"/>
      <c r="P165" s="1728"/>
      <c r="Q165" s="1729"/>
      <c r="R165" s="1732">
        <f t="shared" si="32"/>
        <v>1.0209999999999999</v>
      </c>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row>
    <row r="166" spans="1:247" x14ac:dyDescent="0.25">
      <c r="A166" s="4">
        <v>7384</v>
      </c>
      <c r="B166" s="9" t="s">
        <v>3065</v>
      </c>
      <c r="C166" s="10" t="s">
        <v>9</v>
      </c>
      <c r="D166" s="1721" t="s">
        <v>3060</v>
      </c>
      <c r="E166" s="1728"/>
      <c r="F166" s="1723">
        <f t="shared" si="31"/>
        <v>1.0209999999999999</v>
      </c>
      <c r="G166" s="1729"/>
      <c r="H166" s="1728"/>
      <c r="I166" s="1730"/>
      <c r="J166" s="1730"/>
      <c r="K166" s="1730"/>
      <c r="L166" s="1730"/>
      <c r="M166" s="1730"/>
      <c r="N166" s="1729"/>
      <c r="O166" s="1731"/>
      <c r="P166" s="1728"/>
      <c r="Q166" s="1729"/>
      <c r="R166" s="1732">
        <f t="shared" si="32"/>
        <v>1.0209999999999999</v>
      </c>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row>
    <row r="167" spans="1:247" x14ac:dyDescent="0.25">
      <c r="A167" s="4">
        <v>7385</v>
      </c>
      <c r="B167" s="9" t="s">
        <v>178</v>
      </c>
      <c r="C167" s="10" t="s">
        <v>9</v>
      </c>
      <c r="D167" s="1721" t="s">
        <v>3062</v>
      </c>
      <c r="E167" s="1728">
        <f>+$E$3</f>
        <v>1.0740000000000001</v>
      </c>
      <c r="F167" s="1723">
        <f t="shared" si="31"/>
        <v>1.0209999999999999</v>
      </c>
      <c r="G167" s="1729"/>
      <c r="H167" s="1728"/>
      <c r="I167" s="1730"/>
      <c r="J167" s="1730"/>
      <c r="K167" s="1730"/>
      <c r="L167" s="1730">
        <f>+$L$3</f>
        <v>1.0129999999999999</v>
      </c>
      <c r="M167" s="1730"/>
      <c r="N167" s="1729">
        <f>+$N$3</f>
        <v>1.0029999999999999</v>
      </c>
      <c r="O167" s="1731"/>
      <c r="P167" s="1728"/>
      <c r="Q167" s="1729"/>
      <c r="R167" s="1732">
        <f t="shared" si="32"/>
        <v>1.1141416296059998</v>
      </c>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c r="CA167" s="8"/>
      <c r="CB167" s="8"/>
      <c r="CC167" s="8"/>
      <c r="CD167" s="8"/>
      <c r="CE167" s="8"/>
      <c r="CF167" s="8"/>
      <c r="CG167" s="8"/>
      <c r="CH167" s="8"/>
      <c r="CI167" s="8"/>
      <c r="CJ167" s="8"/>
      <c r="CK167" s="8"/>
      <c r="CL167" s="8"/>
      <c r="CM167" s="8"/>
      <c r="CN167" s="8"/>
      <c r="CO167" s="8"/>
      <c r="CP167" s="8"/>
      <c r="CQ167" s="8"/>
      <c r="CR167" s="8"/>
      <c r="CS167" s="8"/>
      <c r="CT167" s="8"/>
      <c r="CU167" s="8"/>
      <c r="CV167" s="8"/>
      <c r="CW167" s="8"/>
      <c r="CX167" s="8"/>
      <c r="CY167" s="8"/>
      <c r="CZ167" s="8"/>
      <c r="DA167" s="8"/>
      <c r="DB167" s="8"/>
      <c r="DC167" s="8"/>
      <c r="DD167" s="8"/>
      <c r="DE167" s="8"/>
      <c r="DF167" s="8"/>
      <c r="DG167" s="8"/>
      <c r="DH167" s="8"/>
      <c r="DI167" s="8"/>
      <c r="DJ167" s="8"/>
      <c r="DK167" s="8"/>
      <c r="DL167" s="8"/>
      <c r="DM167" s="8"/>
      <c r="DN167" s="8"/>
      <c r="DO167" s="8"/>
      <c r="DP167" s="8"/>
      <c r="DQ167" s="8"/>
      <c r="DR167" s="8"/>
      <c r="DS167" s="8"/>
      <c r="DT167" s="8"/>
      <c r="DU167" s="8"/>
      <c r="DV167" s="8"/>
      <c r="DW167" s="8"/>
      <c r="DX167" s="8"/>
      <c r="DY167" s="8"/>
      <c r="DZ167" s="8"/>
      <c r="EA167" s="8"/>
      <c r="EB167" s="8"/>
      <c r="EC167" s="8"/>
      <c r="ED167" s="8"/>
      <c r="EE167" s="8"/>
      <c r="EF167" s="8"/>
      <c r="EG167" s="8"/>
      <c r="EH167" s="8"/>
      <c r="EI167" s="8"/>
      <c r="EJ167" s="8"/>
      <c r="EK167" s="8"/>
      <c r="EL167" s="8"/>
      <c r="EM167" s="8"/>
      <c r="EN167" s="8"/>
      <c r="EO167" s="8"/>
      <c r="EP167" s="8"/>
      <c r="EQ167" s="8"/>
      <c r="ER167" s="8"/>
      <c r="ES167" s="8"/>
      <c r="ET167" s="8"/>
      <c r="EU167" s="8"/>
      <c r="EV167" s="8"/>
      <c r="EW167" s="8"/>
      <c r="EX167" s="8"/>
      <c r="EY167" s="8"/>
      <c r="EZ167" s="8"/>
      <c r="FA167" s="8"/>
      <c r="FB167" s="8"/>
      <c r="FC167" s="8"/>
      <c r="FD167" s="8"/>
      <c r="FE167" s="8"/>
      <c r="FF167" s="8"/>
      <c r="FG167" s="8"/>
      <c r="FH167" s="8"/>
      <c r="FI167" s="8"/>
      <c r="FJ167" s="8"/>
      <c r="FK167" s="8"/>
      <c r="FL167" s="8"/>
      <c r="FM167" s="8"/>
      <c r="FN167" s="8"/>
      <c r="FO167" s="8"/>
      <c r="FP167" s="8"/>
      <c r="FQ167" s="8"/>
      <c r="FR167" s="8"/>
      <c r="FS167" s="8"/>
      <c r="FT167" s="8"/>
      <c r="FU167" s="8"/>
      <c r="FV167" s="8"/>
      <c r="FW167" s="8"/>
      <c r="FX167" s="8"/>
      <c r="FY167" s="8"/>
      <c r="FZ167" s="8"/>
      <c r="GA167" s="8"/>
      <c r="GB167" s="8"/>
      <c r="GC167" s="8"/>
      <c r="GD167" s="8"/>
      <c r="GE167" s="8"/>
      <c r="GF167" s="8"/>
      <c r="GG167" s="8"/>
      <c r="GH167" s="8"/>
      <c r="GI167" s="8"/>
      <c r="GJ167" s="8"/>
      <c r="GK167" s="8"/>
      <c r="GL167" s="8"/>
      <c r="GM167" s="8"/>
      <c r="GN167" s="8"/>
      <c r="GO167" s="8"/>
      <c r="GP167" s="8"/>
      <c r="GQ167" s="8"/>
      <c r="GR167" s="8"/>
      <c r="GS167" s="8"/>
      <c r="GT167" s="8"/>
      <c r="GU167" s="8"/>
      <c r="GV167" s="8"/>
      <c r="GW167" s="8"/>
      <c r="GX167" s="8"/>
      <c r="GY167" s="8"/>
      <c r="GZ167" s="8"/>
      <c r="HA167" s="8"/>
      <c r="HB167" s="8"/>
      <c r="HC167" s="8"/>
      <c r="HD167" s="8"/>
      <c r="HE167" s="8"/>
      <c r="HF167" s="8"/>
      <c r="HG167" s="8"/>
      <c r="HH167" s="8"/>
      <c r="HI167" s="8"/>
      <c r="HJ167" s="8"/>
      <c r="HK167" s="8"/>
      <c r="HL167" s="8"/>
      <c r="HM167" s="8"/>
      <c r="HN167" s="8"/>
      <c r="HO167" s="8"/>
      <c r="HP167" s="8"/>
      <c r="HQ167" s="8"/>
      <c r="HR167" s="8"/>
      <c r="HS167" s="8"/>
      <c r="HT167" s="8"/>
      <c r="HU167" s="8"/>
      <c r="HV167" s="8"/>
      <c r="HW167" s="8"/>
      <c r="HX167" s="8"/>
      <c r="HY167" s="8"/>
      <c r="HZ167" s="8"/>
      <c r="IA167" s="8"/>
      <c r="IB167" s="8"/>
      <c r="IC167" s="8"/>
      <c r="ID167" s="8"/>
      <c r="IE167" s="8"/>
      <c r="IF167" s="8"/>
      <c r="IG167" s="8"/>
      <c r="IH167" s="8"/>
      <c r="II167" s="8"/>
      <c r="IJ167" s="8"/>
      <c r="IK167" s="8"/>
      <c r="IL167" s="8"/>
      <c r="IM167" s="8"/>
    </row>
    <row r="168" spans="1:247" x14ac:dyDescent="0.25">
      <c r="A168" s="4">
        <v>7386</v>
      </c>
      <c r="B168" s="9" t="s">
        <v>179</v>
      </c>
      <c r="C168" s="10" t="s">
        <v>9</v>
      </c>
      <c r="D168" s="1721" t="s">
        <v>3062</v>
      </c>
      <c r="E168" s="1728">
        <f>+$E$3</f>
        <v>1.0740000000000001</v>
      </c>
      <c r="F168" s="1723">
        <f t="shared" si="31"/>
        <v>1.0209999999999999</v>
      </c>
      <c r="G168" s="1729">
        <f>+$G$3</f>
        <v>1.0269999999999999</v>
      </c>
      <c r="H168" s="1728">
        <f>+$H$3</f>
        <v>1.0029999999999999</v>
      </c>
      <c r="I168" s="1730">
        <f>+$I$3</f>
        <v>1.0289999999999999</v>
      </c>
      <c r="J168" s="1730">
        <f>+$J$3</f>
        <v>1.0049999999999999</v>
      </c>
      <c r="K168" s="1730">
        <f>+$K$3</f>
        <v>1.026</v>
      </c>
      <c r="L168" s="1730">
        <f>+$L$3</f>
        <v>1.0129999999999999</v>
      </c>
      <c r="M168" s="1730">
        <f>+$M$3</f>
        <v>1.0029999999999999</v>
      </c>
      <c r="N168" s="1729">
        <f>+$N$3</f>
        <v>1.0029999999999999</v>
      </c>
      <c r="O168" s="1731">
        <f>+$O$3</f>
        <v>1.0209999999999999</v>
      </c>
      <c r="P168" s="1728">
        <f>+$P$3</f>
        <v>1.032</v>
      </c>
      <c r="Q168" s="1729">
        <f>+$Q$3</f>
        <v>1.0349999999999999</v>
      </c>
      <c r="R168" s="1732">
        <f t="shared" si="32"/>
        <v>1.3319480854780448</v>
      </c>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row>
    <row r="169" spans="1:247" x14ac:dyDescent="0.25">
      <c r="A169" s="4">
        <v>7387</v>
      </c>
      <c r="B169" s="9" t="s">
        <v>180</v>
      </c>
      <c r="C169" s="10" t="s">
        <v>9</v>
      </c>
      <c r="D169" s="1721" t="s">
        <v>3062</v>
      </c>
      <c r="E169" s="1728"/>
      <c r="F169" s="1723">
        <f t="shared" si="31"/>
        <v>1.0209999999999999</v>
      </c>
      <c r="G169" s="1729"/>
      <c r="H169" s="1728"/>
      <c r="I169" s="1730"/>
      <c r="J169" s="1730"/>
      <c r="K169" s="1730"/>
      <c r="L169" s="1730"/>
      <c r="M169" s="1730"/>
      <c r="N169" s="1729"/>
      <c r="O169" s="1731"/>
      <c r="P169" s="1728"/>
      <c r="Q169" s="1729"/>
      <c r="R169" s="1732">
        <f t="shared" si="32"/>
        <v>1.0209999999999999</v>
      </c>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c r="CO169" s="8"/>
      <c r="CP169" s="8"/>
      <c r="CQ169" s="8"/>
      <c r="CR169" s="8"/>
      <c r="CS169" s="8"/>
      <c r="CT169" s="8"/>
      <c r="CU169" s="8"/>
      <c r="CV169" s="8"/>
      <c r="CW169" s="8"/>
      <c r="CX169" s="8"/>
      <c r="CY169" s="8"/>
      <c r="CZ169" s="8"/>
      <c r="DA169" s="8"/>
      <c r="DB169" s="8"/>
      <c r="DC169" s="8"/>
      <c r="DD169" s="8"/>
      <c r="DE169" s="8"/>
      <c r="DF169" s="8"/>
      <c r="DG169" s="8"/>
      <c r="DH169" s="8"/>
      <c r="DI169" s="8"/>
      <c r="DJ169" s="8"/>
      <c r="DK169" s="8"/>
      <c r="DL169" s="8"/>
      <c r="DM169" s="8"/>
      <c r="DN169" s="8"/>
      <c r="DO169" s="8"/>
      <c r="DP169" s="8"/>
      <c r="DQ169" s="8"/>
      <c r="DR169" s="8"/>
      <c r="DS169" s="8"/>
      <c r="DT169" s="8"/>
      <c r="DU169" s="8"/>
      <c r="DV169" s="8"/>
      <c r="DW169" s="8"/>
      <c r="DX169" s="8"/>
      <c r="DY169" s="8"/>
      <c r="DZ169" s="8"/>
      <c r="EA169" s="8"/>
      <c r="EB169" s="8"/>
      <c r="EC169" s="8"/>
      <c r="ED169" s="8"/>
      <c r="EE169" s="8"/>
      <c r="EF169" s="8"/>
      <c r="EG169" s="8"/>
      <c r="EH169" s="8"/>
      <c r="EI169" s="8"/>
      <c r="EJ169" s="8"/>
      <c r="EK169" s="8"/>
      <c r="EL169" s="8"/>
      <c r="EM169" s="8"/>
      <c r="EN169" s="8"/>
      <c r="EO169" s="8"/>
      <c r="EP169" s="8"/>
      <c r="EQ169" s="8"/>
      <c r="ER169" s="8"/>
      <c r="ES169" s="8"/>
      <c r="ET169" s="8"/>
      <c r="EU169" s="8"/>
      <c r="EV169" s="8"/>
      <c r="EW169" s="8"/>
      <c r="EX169" s="8"/>
      <c r="EY169" s="8"/>
      <c r="EZ169" s="8"/>
      <c r="FA169" s="8"/>
      <c r="FB169" s="8"/>
      <c r="FC169" s="8"/>
      <c r="FD169" s="8"/>
      <c r="FE169" s="8"/>
      <c r="FF169" s="8"/>
      <c r="FG169" s="8"/>
      <c r="FH169" s="8"/>
      <c r="FI169" s="8"/>
      <c r="FJ169" s="8"/>
      <c r="FK169" s="8"/>
      <c r="FL169" s="8"/>
      <c r="FM169" s="8"/>
      <c r="FN169" s="8"/>
      <c r="FO169" s="8"/>
      <c r="FP169" s="8"/>
      <c r="FQ169" s="8"/>
      <c r="FR169" s="8"/>
      <c r="FS169" s="8"/>
      <c r="FT169" s="8"/>
      <c r="FU169" s="8"/>
      <c r="FV169" s="8"/>
      <c r="FW169" s="8"/>
      <c r="FX169" s="8"/>
      <c r="FY169" s="8"/>
      <c r="FZ169" s="8"/>
      <c r="GA169" s="8"/>
      <c r="GB169" s="8"/>
      <c r="GC169" s="8"/>
      <c r="GD169" s="8"/>
      <c r="GE169" s="8"/>
      <c r="GF169" s="8"/>
      <c r="GG169" s="8"/>
      <c r="GH169" s="8"/>
      <c r="GI169" s="8"/>
      <c r="GJ169" s="8"/>
      <c r="GK169" s="8"/>
      <c r="GL169" s="8"/>
      <c r="GM169" s="8"/>
      <c r="GN169" s="8"/>
      <c r="GO169" s="8"/>
      <c r="GP169" s="8"/>
      <c r="GQ169" s="8"/>
      <c r="GR169" s="8"/>
      <c r="GS169" s="8"/>
      <c r="GT169" s="8"/>
      <c r="GU169" s="8"/>
      <c r="GV169" s="8"/>
      <c r="GW169" s="8"/>
      <c r="GX169" s="8"/>
      <c r="GY169" s="8"/>
      <c r="GZ169" s="8"/>
      <c r="HA169" s="8"/>
      <c r="HB169" s="8"/>
      <c r="HC169" s="8"/>
      <c r="HD169" s="8"/>
      <c r="HE169" s="8"/>
      <c r="HF169" s="8"/>
      <c r="HG169" s="8"/>
      <c r="HH169" s="8"/>
      <c r="HI169" s="8"/>
      <c r="HJ169" s="8"/>
      <c r="HK169" s="8"/>
      <c r="HL169" s="8"/>
      <c r="HM169" s="8"/>
      <c r="HN169" s="8"/>
      <c r="HO169" s="8"/>
      <c r="HP169" s="8"/>
      <c r="HQ169" s="8"/>
      <c r="HR169" s="8"/>
      <c r="HS169" s="8"/>
      <c r="HT169" s="8"/>
      <c r="HU169" s="8"/>
      <c r="HV169" s="8"/>
      <c r="HW169" s="8"/>
      <c r="HX169" s="8"/>
      <c r="HY169" s="8"/>
      <c r="HZ169" s="8"/>
      <c r="IA169" s="8"/>
      <c r="IB169" s="8"/>
      <c r="IC169" s="8"/>
      <c r="ID169" s="8"/>
      <c r="IE169" s="8"/>
      <c r="IF169" s="8"/>
      <c r="IG169" s="8"/>
      <c r="IH169" s="8"/>
      <c r="II169" s="8"/>
      <c r="IJ169" s="8"/>
      <c r="IK169" s="8"/>
      <c r="IL169" s="8"/>
      <c r="IM169" s="8"/>
    </row>
    <row r="170" spans="1:247" x14ac:dyDescent="0.25">
      <c r="A170" s="4">
        <v>7411</v>
      </c>
      <c r="B170" s="9" t="s">
        <v>181</v>
      </c>
      <c r="C170" s="10" t="s">
        <v>9</v>
      </c>
      <c r="D170" s="1721" t="s">
        <v>3062</v>
      </c>
      <c r="E170" s="1728"/>
      <c r="F170" s="1723">
        <f t="shared" si="31"/>
        <v>1.0209999999999999</v>
      </c>
      <c r="G170" s="1729"/>
      <c r="H170" s="1728"/>
      <c r="I170" s="1730"/>
      <c r="J170" s="1730"/>
      <c r="K170" s="1730"/>
      <c r="L170" s="1730"/>
      <c r="M170" s="1730"/>
      <c r="N170" s="1729"/>
      <c r="O170" s="1731"/>
      <c r="P170" s="1728"/>
      <c r="Q170" s="1729"/>
      <c r="R170" s="1732">
        <f t="shared" si="32"/>
        <v>1.0209999999999999</v>
      </c>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row>
    <row r="171" spans="1:247" x14ac:dyDescent="0.25">
      <c r="A171" s="4">
        <v>7412</v>
      </c>
      <c r="B171" s="9" t="s">
        <v>182</v>
      </c>
      <c r="C171" s="10" t="s">
        <v>9</v>
      </c>
      <c r="D171" s="1721" t="s">
        <v>3062</v>
      </c>
      <c r="E171" s="1728"/>
      <c r="F171" s="1723">
        <f t="shared" si="31"/>
        <v>1.0209999999999999</v>
      </c>
      <c r="G171" s="1729"/>
      <c r="H171" s="1728">
        <f t="shared" ref="H171:H179" si="48">+$H$3</f>
        <v>1.0029999999999999</v>
      </c>
      <c r="I171" s="1730"/>
      <c r="J171" s="1730"/>
      <c r="K171" s="1730"/>
      <c r="L171" s="1730"/>
      <c r="M171" s="1730"/>
      <c r="N171" s="1729"/>
      <c r="O171" s="1731"/>
      <c r="P171" s="1728"/>
      <c r="Q171" s="1729"/>
      <c r="R171" s="1732">
        <f t="shared" si="32"/>
        <v>1.0240629999999997</v>
      </c>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row>
    <row r="172" spans="1:247" x14ac:dyDescent="0.25">
      <c r="A172" s="4">
        <v>7413</v>
      </c>
      <c r="B172" s="9" t="s">
        <v>183</v>
      </c>
      <c r="C172" s="10" t="s">
        <v>9</v>
      </c>
      <c r="D172" s="1721" t="s">
        <v>3062</v>
      </c>
      <c r="E172" s="1728">
        <f>+$E$3</f>
        <v>1.0740000000000001</v>
      </c>
      <c r="F172" s="1723">
        <f t="shared" si="31"/>
        <v>1.0209999999999999</v>
      </c>
      <c r="G172" s="1729">
        <f t="shared" ref="G172:G181" si="49">+$G$3</f>
        <v>1.0269999999999999</v>
      </c>
      <c r="H172" s="1728">
        <f t="shared" si="48"/>
        <v>1.0029999999999999</v>
      </c>
      <c r="I172" s="1730">
        <f t="shared" ref="I172:I179" si="50">+$I$3</f>
        <v>1.0289999999999999</v>
      </c>
      <c r="J172" s="1730">
        <f t="shared" ref="J172:J182" si="51">+$J$3</f>
        <v>1.0049999999999999</v>
      </c>
      <c r="K172" s="1730">
        <f>+$K$3</f>
        <v>1.026</v>
      </c>
      <c r="L172" s="1730">
        <f>+$L$3</f>
        <v>1.0129999999999999</v>
      </c>
      <c r="M172" s="1730">
        <f>+$M$3</f>
        <v>1.0029999999999999</v>
      </c>
      <c r="N172" s="1729">
        <f t="shared" ref="N172:N181" si="52">+$N$3</f>
        <v>1.0029999999999999</v>
      </c>
      <c r="O172" s="1731">
        <f t="shared" ref="O172:O179" si="53">+$O$3</f>
        <v>1.0209999999999999</v>
      </c>
      <c r="P172" s="1728">
        <f>+$P$3</f>
        <v>1.032</v>
      </c>
      <c r="Q172" s="1729">
        <f>+$Q$3</f>
        <v>1.0349999999999999</v>
      </c>
      <c r="R172" s="1732">
        <f t="shared" si="32"/>
        <v>1.3319480854780448</v>
      </c>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row>
    <row r="173" spans="1:247" x14ac:dyDescent="0.25">
      <c r="A173" s="4">
        <v>7414</v>
      </c>
      <c r="B173" s="9" t="s">
        <v>184</v>
      </c>
      <c r="C173" s="10" t="s">
        <v>9</v>
      </c>
      <c r="D173" s="1721" t="s">
        <v>3062</v>
      </c>
      <c r="E173" s="1728">
        <f>+$E$3</f>
        <v>1.0740000000000001</v>
      </c>
      <c r="F173" s="1723">
        <f t="shared" si="31"/>
        <v>1.0209999999999999</v>
      </c>
      <c r="G173" s="1729">
        <f t="shared" si="49"/>
        <v>1.0269999999999999</v>
      </c>
      <c r="H173" s="1728">
        <f t="shared" si="48"/>
        <v>1.0029999999999999</v>
      </c>
      <c r="I173" s="1730">
        <f t="shared" si="50"/>
        <v>1.0289999999999999</v>
      </c>
      <c r="J173" s="1730">
        <f t="shared" si="51"/>
        <v>1.0049999999999999</v>
      </c>
      <c r="K173" s="1730">
        <f>+$K$3</f>
        <v>1.026</v>
      </c>
      <c r="L173" s="1730">
        <f>+$L$3</f>
        <v>1.0129999999999999</v>
      </c>
      <c r="M173" s="1730">
        <f>+$M$3</f>
        <v>1.0029999999999999</v>
      </c>
      <c r="N173" s="1729">
        <f t="shared" si="52"/>
        <v>1.0029999999999999</v>
      </c>
      <c r="O173" s="1731">
        <f t="shared" si="53"/>
        <v>1.0209999999999999</v>
      </c>
      <c r="P173" s="1728"/>
      <c r="Q173" s="1729"/>
      <c r="R173" s="1732">
        <f t="shared" si="32"/>
        <v>1.2470022895162014</v>
      </c>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row>
    <row r="174" spans="1:247" x14ac:dyDescent="0.25">
      <c r="A174" s="4">
        <v>7415</v>
      </c>
      <c r="B174" s="9" t="s">
        <v>185</v>
      </c>
      <c r="C174" s="10" t="s">
        <v>9</v>
      </c>
      <c r="D174" s="1721" t="s">
        <v>3062</v>
      </c>
      <c r="E174" s="1728">
        <f>+$E$3</f>
        <v>1.0740000000000001</v>
      </c>
      <c r="F174" s="1723">
        <f t="shared" si="31"/>
        <v>1.0209999999999999</v>
      </c>
      <c r="G174" s="1729">
        <f t="shared" si="49"/>
        <v>1.0269999999999999</v>
      </c>
      <c r="H174" s="1728">
        <f t="shared" si="48"/>
        <v>1.0029999999999999</v>
      </c>
      <c r="I174" s="1730">
        <f t="shared" si="50"/>
        <v>1.0289999999999999</v>
      </c>
      <c r="J174" s="1730">
        <f t="shared" si="51"/>
        <v>1.0049999999999999</v>
      </c>
      <c r="K174" s="1730"/>
      <c r="L174" s="1730"/>
      <c r="M174" s="1730">
        <f>+$M$3</f>
        <v>1.0029999999999999</v>
      </c>
      <c r="N174" s="1729">
        <f t="shared" si="52"/>
        <v>1.0029999999999999</v>
      </c>
      <c r="O174" s="1731">
        <f t="shared" si="53"/>
        <v>1.0209999999999999</v>
      </c>
      <c r="P174" s="1728">
        <f t="shared" ref="P174:P181" si="54">+$P$3</f>
        <v>1.032</v>
      </c>
      <c r="Q174" s="1729">
        <f t="shared" ref="Q174:Q181" si="55">+$Q$3</f>
        <v>1.0349999999999999</v>
      </c>
      <c r="R174" s="1732">
        <f t="shared" si="32"/>
        <v>1.2815350593147223</v>
      </c>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row>
    <row r="175" spans="1:247" x14ac:dyDescent="0.25">
      <c r="A175" s="4">
        <v>7416</v>
      </c>
      <c r="B175" s="9" t="s">
        <v>186</v>
      </c>
      <c r="C175" s="10" t="s">
        <v>9</v>
      </c>
      <c r="D175" s="1721" t="s">
        <v>3062</v>
      </c>
      <c r="E175" s="1728">
        <f>+$E$3</f>
        <v>1.0740000000000001</v>
      </c>
      <c r="F175" s="1723">
        <f t="shared" si="31"/>
        <v>1.0209999999999999</v>
      </c>
      <c r="G175" s="1729">
        <f t="shared" si="49"/>
        <v>1.0269999999999999</v>
      </c>
      <c r="H175" s="1728">
        <f t="shared" si="48"/>
        <v>1.0029999999999999</v>
      </c>
      <c r="I175" s="1730">
        <f t="shared" si="50"/>
        <v>1.0289999999999999</v>
      </c>
      <c r="J175" s="1730">
        <f t="shared" si="51"/>
        <v>1.0049999999999999</v>
      </c>
      <c r="K175" s="1730">
        <f>+$K$3</f>
        <v>1.026</v>
      </c>
      <c r="L175" s="1730">
        <f>+$L$3</f>
        <v>1.0129999999999999</v>
      </c>
      <c r="M175" s="1730">
        <f>+$M$3</f>
        <v>1.0029999999999999</v>
      </c>
      <c r="N175" s="1729">
        <f t="shared" si="52"/>
        <v>1.0029999999999999</v>
      </c>
      <c r="O175" s="1731">
        <f t="shared" si="53"/>
        <v>1.0209999999999999</v>
      </c>
      <c r="P175" s="1728">
        <f t="shared" si="54"/>
        <v>1.032</v>
      </c>
      <c r="Q175" s="1729">
        <f t="shared" si="55"/>
        <v>1.0349999999999999</v>
      </c>
      <c r="R175" s="1732">
        <f t="shared" si="32"/>
        <v>1.3319480854780448</v>
      </c>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row>
    <row r="176" spans="1:247" x14ac:dyDescent="0.25">
      <c r="A176" s="4">
        <v>7417</v>
      </c>
      <c r="B176" s="9" t="s">
        <v>187</v>
      </c>
      <c r="C176" s="10" t="s">
        <v>9</v>
      </c>
      <c r="D176" s="1721" t="s">
        <v>3062</v>
      </c>
      <c r="E176" s="1728">
        <f>+$E$3</f>
        <v>1.0740000000000001</v>
      </c>
      <c r="F176" s="1723">
        <f t="shared" si="31"/>
        <v>1.0209999999999999</v>
      </c>
      <c r="G176" s="1729">
        <f t="shared" si="49"/>
        <v>1.0269999999999999</v>
      </c>
      <c r="H176" s="1728">
        <f t="shared" si="48"/>
        <v>1.0029999999999999</v>
      </c>
      <c r="I176" s="1730">
        <f t="shared" si="50"/>
        <v>1.0289999999999999</v>
      </c>
      <c r="J176" s="1730">
        <f t="shared" si="51"/>
        <v>1.0049999999999999</v>
      </c>
      <c r="K176" s="1730"/>
      <c r="L176" s="1730">
        <f>+$L$3</f>
        <v>1.0129999999999999</v>
      </c>
      <c r="M176" s="1730">
        <f>+$M$3</f>
        <v>1.0029999999999999</v>
      </c>
      <c r="N176" s="1729">
        <f t="shared" si="52"/>
        <v>1.0029999999999999</v>
      </c>
      <c r="O176" s="1731">
        <f t="shared" si="53"/>
        <v>1.0209999999999999</v>
      </c>
      <c r="P176" s="1728">
        <f t="shared" si="54"/>
        <v>1.032</v>
      </c>
      <c r="Q176" s="1729">
        <f t="shared" si="55"/>
        <v>1.0349999999999999</v>
      </c>
      <c r="R176" s="1732">
        <f t="shared" si="32"/>
        <v>1.2981950150858137</v>
      </c>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row>
    <row r="177" spans="1:247" x14ac:dyDescent="0.25">
      <c r="A177" s="4">
        <v>7418</v>
      </c>
      <c r="B177" s="9" t="s">
        <v>188</v>
      </c>
      <c r="C177" s="10" t="s">
        <v>9</v>
      </c>
      <c r="D177" s="1721" t="s">
        <v>3062</v>
      </c>
      <c r="E177" s="1728"/>
      <c r="F177" s="1723">
        <f t="shared" si="31"/>
        <v>1.0209999999999999</v>
      </c>
      <c r="G177" s="1729">
        <f t="shared" si="49"/>
        <v>1.0269999999999999</v>
      </c>
      <c r="H177" s="1728">
        <f t="shared" si="48"/>
        <v>1.0029999999999999</v>
      </c>
      <c r="I177" s="1730">
        <f t="shared" si="50"/>
        <v>1.0289999999999999</v>
      </c>
      <c r="J177" s="1730">
        <f t="shared" si="51"/>
        <v>1.0049999999999999</v>
      </c>
      <c r="K177" s="1730"/>
      <c r="L177" s="1730"/>
      <c r="M177" s="1730"/>
      <c r="N177" s="1729">
        <f t="shared" si="52"/>
        <v>1.0029999999999999</v>
      </c>
      <c r="O177" s="1731">
        <f t="shared" si="53"/>
        <v>1.0209999999999999</v>
      </c>
      <c r="P177" s="1728">
        <f t="shared" si="54"/>
        <v>1.032</v>
      </c>
      <c r="Q177" s="1729">
        <f t="shared" si="55"/>
        <v>1.0349999999999999</v>
      </c>
      <c r="R177" s="1732">
        <f t="shared" si="32"/>
        <v>1.1896666233280813</v>
      </c>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row>
    <row r="178" spans="1:247" x14ac:dyDescent="0.25">
      <c r="A178" s="4">
        <v>7422</v>
      </c>
      <c r="B178" s="9" t="s">
        <v>189</v>
      </c>
      <c r="C178" s="10" t="s">
        <v>9</v>
      </c>
      <c r="D178" s="1721" t="s">
        <v>3062</v>
      </c>
      <c r="E178" s="1728"/>
      <c r="F178" s="1723">
        <f t="shared" si="31"/>
        <v>1.0209999999999999</v>
      </c>
      <c r="G178" s="1729">
        <f t="shared" si="49"/>
        <v>1.0269999999999999</v>
      </c>
      <c r="H178" s="1728">
        <f t="shared" si="48"/>
        <v>1.0029999999999999</v>
      </c>
      <c r="I178" s="1730">
        <f t="shared" si="50"/>
        <v>1.0289999999999999</v>
      </c>
      <c r="J178" s="1730">
        <f t="shared" si="51"/>
        <v>1.0049999999999999</v>
      </c>
      <c r="K178" s="1730"/>
      <c r="L178" s="1730">
        <f>+$L$3</f>
        <v>1.0129999999999999</v>
      </c>
      <c r="M178" s="1730"/>
      <c r="N178" s="1729">
        <f t="shared" si="52"/>
        <v>1.0029999999999999</v>
      </c>
      <c r="O178" s="1731">
        <f t="shared" si="53"/>
        <v>1.0209999999999999</v>
      </c>
      <c r="P178" s="1728">
        <f t="shared" si="54"/>
        <v>1.032</v>
      </c>
      <c r="Q178" s="1729">
        <f t="shared" si="55"/>
        <v>1.0349999999999999</v>
      </c>
      <c r="R178" s="1732">
        <f t="shared" si="32"/>
        <v>1.2051322894313463</v>
      </c>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row>
    <row r="179" spans="1:247" x14ac:dyDescent="0.25">
      <c r="A179" s="4">
        <v>7431</v>
      </c>
      <c r="B179" s="9" t="s">
        <v>190</v>
      </c>
      <c r="C179" s="10" t="s">
        <v>9</v>
      </c>
      <c r="D179" s="1721" t="s">
        <v>3062</v>
      </c>
      <c r="E179" s="1728">
        <f>+$E$3</f>
        <v>1.0740000000000001</v>
      </c>
      <c r="F179" s="1723">
        <f t="shared" si="31"/>
        <v>1.0209999999999999</v>
      </c>
      <c r="G179" s="1729">
        <f t="shared" si="49"/>
        <v>1.0269999999999999</v>
      </c>
      <c r="H179" s="1728">
        <f t="shared" si="48"/>
        <v>1.0029999999999999</v>
      </c>
      <c r="I179" s="1730">
        <f t="shared" si="50"/>
        <v>1.0289999999999999</v>
      </c>
      <c r="J179" s="1730">
        <f t="shared" si="51"/>
        <v>1.0049999999999999</v>
      </c>
      <c r="K179" s="1730">
        <f>+$K$3</f>
        <v>1.026</v>
      </c>
      <c r="L179" s="1730"/>
      <c r="M179" s="1730">
        <f>+$M$3</f>
        <v>1.0029999999999999</v>
      </c>
      <c r="N179" s="1729">
        <f t="shared" si="52"/>
        <v>1.0029999999999999</v>
      </c>
      <c r="O179" s="1731">
        <f t="shared" si="53"/>
        <v>1.0209999999999999</v>
      </c>
      <c r="P179" s="1728">
        <f t="shared" si="54"/>
        <v>1.032</v>
      </c>
      <c r="Q179" s="1729">
        <f t="shared" si="55"/>
        <v>1.0349999999999999</v>
      </c>
      <c r="R179" s="1732">
        <f t="shared" si="32"/>
        <v>1.3148549708569053</v>
      </c>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row>
    <row r="180" spans="1:247" x14ac:dyDescent="0.25">
      <c r="A180" s="4">
        <v>7440</v>
      </c>
      <c r="B180" s="9" t="s">
        <v>3066</v>
      </c>
      <c r="C180" s="10" t="s">
        <v>9</v>
      </c>
      <c r="D180" s="1721" t="s">
        <v>3062</v>
      </c>
      <c r="E180" s="1728">
        <v>1.0740000000000001</v>
      </c>
      <c r="F180" s="1723">
        <v>1.0209999999999999</v>
      </c>
      <c r="G180" s="1729">
        <v>1.0269999999999999</v>
      </c>
      <c r="H180" s="1728">
        <v>1.0029999999999999</v>
      </c>
      <c r="I180" s="1730">
        <v>1.0289999999999999</v>
      </c>
      <c r="J180" s="1730">
        <v>1.0049999999999999</v>
      </c>
      <c r="K180" s="1730">
        <v>1.026</v>
      </c>
      <c r="L180" s="1730"/>
      <c r="M180" s="1730">
        <v>1.0029999999999999</v>
      </c>
      <c r="N180" s="1729">
        <v>1.0029999999999999</v>
      </c>
      <c r="O180" s="1731">
        <v>1.0209999999999999</v>
      </c>
      <c r="P180" s="1728">
        <v>1.032</v>
      </c>
      <c r="Q180" s="1729">
        <v>1.0349999999999999</v>
      </c>
      <c r="R180" s="1732">
        <v>1.3148549708569053</v>
      </c>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row>
    <row r="181" spans="1:247" x14ac:dyDescent="0.25">
      <c r="A181" s="4">
        <v>7442</v>
      </c>
      <c r="B181" s="9" t="s">
        <v>191</v>
      </c>
      <c r="C181" s="10" t="s">
        <v>9</v>
      </c>
      <c r="D181" s="1721" t="s">
        <v>3062</v>
      </c>
      <c r="E181" s="1728"/>
      <c r="F181" s="1723">
        <f t="shared" si="31"/>
        <v>1.0209999999999999</v>
      </c>
      <c r="G181" s="1729">
        <f t="shared" si="49"/>
        <v>1.0269999999999999</v>
      </c>
      <c r="H181" s="1728"/>
      <c r="I181" s="1730"/>
      <c r="J181" s="1730">
        <f t="shared" si="51"/>
        <v>1.0049999999999999</v>
      </c>
      <c r="K181" s="1730"/>
      <c r="L181" s="1730"/>
      <c r="M181" s="1730"/>
      <c r="N181" s="1729">
        <f t="shared" si="52"/>
        <v>1.0029999999999999</v>
      </c>
      <c r="O181" s="1731"/>
      <c r="P181" s="1728">
        <f t="shared" si="54"/>
        <v>1.032</v>
      </c>
      <c r="Q181" s="1729">
        <f t="shared" si="55"/>
        <v>1.0349999999999999</v>
      </c>
      <c r="R181" s="1732">
        <f t="shared" si="32"/>
        <v>1.12897214704308</v>
      </c>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row>
    <row r="182" spans="1:247" x14ac:dyDescent="0.25">
      <c r="A182" s="4">
        <v>7443</v>
      </c>
      <c r="B182" s="9" t="s">
        <v>192</v>
      </c>
      <c r="C182" s="10" t="s">
        <v>9</v>
      </c>
      <c r="D182" s="1721" t="s">
        <v>3062</v>
      </c>
      <c r="E182" s="1728"/>
      <c r="F182" s="1723">
        <f t="shared" si="31"/>
        <v>1.0209999999999999</v>
      </c>
      <c r="G182" s="1729"/>
      <c r="H182" s="1728">
        <f>+$H$3</f>
        <v>1.0029999999999999</v>
      </c>
      <c r="I182" s="1730">
        <f>+$I$3</f>
        <v>1.0289999999999999</v>
      </c>
      <c r="J182" s="1730">
        <f t="shared" si="51"/>
        <v>1.0049999999999999</v>
      </c>
      <c r="K182" s="1730"/>
      <c r="L182" s="1730"/>
      <c r="M182" s="1730"/>
      <c r="N182" s="1729"/>
      <c r="O182" s="1731"/>
      <c r="P182" s="1728"/>
      <c r="Q182" s="1729"/>
      <c r="R182" s="1732">
        <f t="shared" si="32"/>
        <v>1.0590296311349996</v>
      </c>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row>
    <row r="183" spans="1:247" x14ac:dyDescent="0.25">
      <c r="A183" s="4">
        <v>7444</v>
      </c>
      <c r="B183" s="9" t="s">
        <v>193</v>
      </c>
      <c r="C183" s="10" t="s">
        <v>9</v>
      </c>
      <c r="D183" s="1721" t="s">
        <v>3062</v>
      </c>
      <c r="E183" s="1728"/>
      <c r="F183" s="1723">
        <f t="shared" si="31"/>
        <v>1.0209999999999999</v>
      </c>
      <c r="G183" s="1729"/>
      <c r="H183" s="1728"/>
      <c r="I183" s="1730"/>
      <c r="J183" s="1730"/>
      <c r="K183" s="1730"/>
      <c r="L183" s="1730"/>
      <c r="M183" s="1730"/>
      <c r="N183" s="1729"/>
      <c r="O183" s="1731"/>
      <c r="P183" s="1728"/>
      <c r="Q183" s="1729"/>
      <c r="R183" s="1732">
        <f t="shared" si="32"/>
        <v>1.0209999999999999</v>
      </c>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row>
    <row r="184" spans="1:247" x14ac:dyDescent="0.25">
      <c r="A184" s="4">
        <v>7445</v>
      </c>
      <c r="B184" s="9" t="s">
        <v>194</v>
      </c>
      <c r="C184" s="10" t="s">
        <v>9</v>
      </c>
      <c r="D184" s="1721" t="s">
        <v>3062</v>
      </c>
      <c r="E184" s="1728"/>
      <c r="F184" s="1723">
        <f t="shared" si="31"/>
        <v>1.0209999999999999</v>
      </c>
      <c r="G184" s="1729"/>
      <c r="H184" s="1728"/>
      <c r="I184" s="1730"/>
      <c r="J184" s="1730"/>
      <c r="K184" s="1730"/>
      <c r="L184" s="1730"/>
      <c r="M184" s="1730"/>
      <c r="N184" s="1729"/>
      <c r="O184" s="1731"/>
      <c r="P184" s="1728"/>
      <c r="Q184" s="1729"/>
      <c r="R184" s="1732">
        <f t="shared" si="32"/>
        <v>1.0209999999999999</v>
      </c>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row>
    <row r="185" spans="1:247" x14ac:dyDescent="0.25">
      <c r="A185" s="4">
        <v>7446</v>
      </c>
      <c r="B185" s="9" t="s">
        <v>3067</v>
      </c>
      <c r="C185" s="10" t="s">
        <v>9</v>
      </c>
      <c r="D185" s="1721" t="s">
        <v>3062</v>
      </c>
      <c r="E185" s="1728"/>
      <c r="F185" s="1723">
        <f t="shared" si="31"/>
        <v>1.0209999999999999</v>
      </c>
      <c r="G185" s="1729"/>
      <c r="H185" s="1728"/>
      <c r="I185" s="1730"/>
      <c r="J185" s="1730"/>
      <c r="K185" s="1730"/>
      <c r="L185" s="1730"/>
      <c r="M185" s="1730"/>
      <c r="N185" s="1729"/>
      <c r="O185" s="1731"/>
      <c r="P185" s="1728"/>
      <c r="Q185" s="1729"/>
      <c r="R185" s="1732">
        <f t="shared" si="32"/>
        <v>1.0209999999999999</v>
      </c>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row>
    <row r="186" spans="1:247" x14ac:dyDescent="0.25">
      <c r="A186" s="4">
        <v>7448</v>
      </c>
      <c r="B186" s="9" t="s">
        <v>3068</v>
      </c>
      <c r="C186" s="10" t="s">
        <v>9</v>
      </c>
      <c r="D186" s="1721" t="s">
        <v>3062</v>
      </c>
      <c r="E186" s="1728"/>
      <c r="F186" s="1723">
        <f t="shared" si="31"/>
        <v>1.0209999999999999</v>
      </c>
      <c r="G186" s="1729">
        <f>+$G$3</f>
        <v>1.0269999999999999</v>
      </c>
      <c r="H186" s="1728"/>
      <c r="I186" s="1730"/>
      <c r="J186" s="1730"/>
      <c r="K186" s="1730"/>
      <c r="L186" s="1730">
        <f>+$L$3</f>
        <v>1.0129999999999999</v>
      </c>
      <c r="M186" s="1730"/>
      <c r="N186" s="1729">
        <f>+$N$3</f>
        <v>1.0029999999999999</v>
      </c>
      <c r="O186" s="1731"/>
      <c r="P186" s="1728">
        <f t="shared" ref="P186:P191" si="56">+$P$3</f>
        <v>1.032</v>
      </c>
      <c r="Q186" s="1729">
        <f t="shared" ref="Q186:Q191" si="57">+$Q$3</f>
        <v>1.0349999999999999</v>
      </c>
      <c r="R186" s="1732">
        <f t="shared" si="32"/>
        <v>1.1379589900046172</v>
      </c>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row>
    <row r="187" spans="1:247" x14ac:dyDescent="0.25">
      <c r="A187" s="4">
        <v>7449</v>
      </c>
      <c r="B187" s="9" t="s">
        <v>195</v>
      </c>
      <c r="C187" s="10" t="s">
        <v>9</v>
      </c>
      <c r="D187" s="1721" t="s">
        <v>3062</v>
      </c>
      <c r="E187" s="1728">
        <f>+$E$3</f>
        <v>1.0740000000000001</v>
      </c>
      <c r="F187" s="1723">
        <f t="shared" si="31"/>
        <v>1.0209999999999999</v>
      </c>
      <c r="G187" s="1729">
        <f>+$G$3</f>
        <v>1.0269999999999999</v>
      </c>
      <c r="H187" s="1728">
        <f>+$H$3</f>
        <v>1.0029999999999999</v>
      </c>
      <c r="I187" s="1730">
        <f>+$I$3</f>
        <v>1.0289999999999999</v>
      </c>
      <c r="J187" s="1730">
        <f>+$J$3</f>
        <v>1.0049999999999999</v>
      </c>
      <c r="K187" s="1730">
        <f>+$K$3</f>
        <v>1.026</v>
      </c>
      <c r="L187" s="1730">
        <f>+$L$3</f>
        <v>1.0129999999999999</v>
      </c>
      <c r="M187" s="1730">
        <f>+$M$3</f>
        <v>1.0029999999999999</v>
      </c>
      <c r="N187" s="1729">
        <f>+$N$3</f>
        <v>1.0029999999999999</v>
      </c>
      <c r="O187" s="1731">
        <f>+$O$3</f>
        <v>1.0209999999999999</v>
      </c>
      <c r="P187" s="1728">
        <f t="shared" si="56"/>
        <v>1.032</v>
      </c>
      <c r="Q187" s="1729">
        <f t="shared" si="57"/>
        <v>1.0349999999999999</v>
      </c>
      <c r="R187" s="1732">
        <f t="shared" si="32"/>
        <v>1.3319480854780448</v>
      </c>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row>
    <row r="188" spans="1:247" x14ac:dyDescent="0.25">
      <c r="A188" s="4">
        <v>7512</v>
      </c>
      <c r="B188" s="9" t="s">
        <v>196</v>
      </c>
      <c r="C188" s="10" t="s">
        <v>11</v>
      </c>
      <c r="D188" s="1721" t="s">
        <v>3060</v>
      </c>
      <c r="E188" s="1728"/>
      <c r="F188" s="1723">
        <f t="shared" si="31"/>
        <v>1.0209999999999999</v>
      </c>
      <c r="G188" s="1729">
        <f>+$G$3</f>
        <v>1.0269999999999999</v>
      </c>
      <c r="H188" s="1728"/>
      <c r="I188" s="1730"/>
      <c r="J188" s="1730"/>
      <c r="K188" s="1730"/>
      <c r="L188" s="1730">
        <f>+$L$3</f>
        <v>1.0129999999999999</v>
      </c>
      <c r="M188" s="1730"/>
      <c r="N188" s="1729">
        <f>+$N$3</f>
        <v>1.0029999999999999</v>
      </c>
      <c r="O188" s="1731"/>
      <c r="P188" s="1728">
        <f t="shared" si="56"/>
        <v>1.032</v>
      </c>
      <c r="Q188" s="1729">
        <f t="shared" si="57"/>
        <v>1.0349999999999999</v>
      </c>
      <c r="R188" s="1732">
        <f t="shared" si="32"/>
        <v>1.1379589900046172</v>
      </c>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row>
    <row r="189" spans="1:247" x14ac:dyDescent="0.25">
      <c r="A189" s="4">
        <v>7513</v>
      </c>
      <c r="B189" s="9" t="s">
        <v>197</v>
      </c>
      <c r="C189" s="10" t="s">
        <v>11</v>
      </c>
      <c r="D189" s="1721" t="s">
        <v>3060</v>
      </c>
      <c r="E189" s="1728"/>
      <c r="F189" s="1723">
        <f t="shared" si="31"/>
        <v>1.0209999999999999</v>
      </c>
      <c r="G189" s="1729">
        <f>+$G$3</f>
        <v>1.0269999999999999</v>
      </c>
      <c r="H189" s="1728"/>
      <c r="I189" s="1730"/>
      <c r="J189" s="1730"/>
      <c r="K189" s="1730"/>
      <c r="L189" s="1730"/>
      <c r="M189" s="1730"/>
      <c r="N189" s="1729"/>
      <c r="O189" s="1731"/>
      <c r="P189" s="1728">
        <f t="shared" si="56"/>
        <v>1.032</v>
      </c>
      <c r="Q189" s="1729">
        <f t="shared" si="57"/>
        <v>1.0349999999999999</v>
      </c>
      <c r="R189" s="1732">
        <f t="shared" si="32"/>
        <v>1.1199953840399997</v>
      </c>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row>
    <row r="190" spans="1:247" x14ac:dyDescent="0.25">
      <c r="A190" s="4">
        <v>7514</v>
      </c>
      <c r="B190" s="9" t="s">
        <v>198</v>
      </c>
      <c r="C190" s="10" t="s">
        <v>11</v>
      </c>
      <c r="D190" s="1721" t="s">
        <v>3060</v>
      </c>
      <c r="E190" s="1728"/>
      <c r="F190" s="1723">
        <f t="shared" si="31"/>
        <v>1.0209999999999999</v>
      </c>
      <c r="G190" s="1729">
        <f>+$G$3</f>
        <v>1.0269999999999999</v>
      </c>
      <c r="H190" s="1728"/>
      <c r="I190" s="1730"/>
      <c r="J190" s="1730"/>
      <c r="K190" s="1730"/>
      <c r="L190" s="1730"/>
      <c r="M190" s="1730"/>
      <c r="N190" s="1729"/>
      <c r="O190" s="1731"/>
      <c r="P190" s="1728">
        <f t="shared" si="56"/>
        <v>1.032</v>
      </c>
      <c r="Q190" s="1729">
        <f t="shared" si="57"/>
        <v>1.0349999999999999</v>
      </c>
      <c r="R190" s="1732">
        <f t="shared" si="32"/>
        <v>1.1199953840399997</v>
      </c>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c r="CA190" s="8"/>
      <c r="CB190" s="8"/>
      <c r="CC190" s="8"/>
      <c r="CD190" s="8"/>
      <c r="CE190" s="8"/>
      <c r="CF190" s="8"/>
      <c r="CG190" s="8"/>
      <c r="CH190" s="8"/>
      <c r="CI190" s="8"/>
      <c r="CJ190" s="8"/>
      <c r="CK190" s="8"/>
      <c r="CL190" s="8"/>
      <c r="CM190" s="8"/>
      <c r="CN190" s="8"/>
      <c r="CO190" s="8"/>
      <c r="CP190" s="8"/>
      <c r="CQ190" s="8"/>
      <c r="CR190" s="8"/>
      <c r="CS190" s="8"/>
      <c r="CT190" s="8"/>
      <c r="CU190" s="8"/>
      <c r="CV190" s="8"/>
      <c r="CW190" s="8"/>
      <c r="CX190" s="8"/>
      <c r="CY190" s="8"/>
      <c r="CZ190" s="8"/>
      <c r="DA190" s="8"/>
      <c r="DB190" s="8"/>
      <c r="DC190" s="8"/>
      <c r="DD190" s="8"/>
      <c r="DE190" s="8"/>
      <c r="DF190" s="8"/>
      <c r="DG190" s="8"/>
      <c r="DH190" s="8"/>
      <c r="DI190" s="8"/>
      <c r="DJ190" s="8"/>
      <c r="DK190" s="8"/>
      <c r="DL190" s="8"/>
      <c r="DM190" s="8"/>
      <c r="DN190" s="8"/>
      <c r="DO190" s="8"/>
      <c r="DP190" s="8"/>
      <c r="DQ190" s="8"/>
      <c r="DR190" s="8"/>
      <c r="DS190" s="8"/>
      <c r="DT190" s="8"/>
      <c r="DU190" s="8"/>
      <c r="DV190" s="8"/>
      <c r="DW190" s="8"/>
      <c r="DX190" s="8"/>
      <c r="DY190" s="8"/>
      <c r="DZ190" s="8"/>
      <c r="EA190" s="8"/>
      <c r="EB190" s="8"/>
      <c r="EC190" s="8"/>
      <c r="ED190" s="8"/>
      <c r="EE190" s="8"/>
      <c r="EF190" s="8"/>
      <c r="EG190" s="8"/>
      <c r="EH190" s="8"/>
      <c r="EI190" s="8"/>
      <c r="EJ190" s="8"/>
      <c r="EK190" s="8"/>
      <c r="EL190" s="8"/>
      <c r="EM190" s="8"/>
      <c r="EN190" s="8"/>
      <c r="EO190" s="8"/>
      <c r="EP190" s="8"/>
      <c r="EQ190" s="8"/>
      <c r="ER190" s="8"/>
      <c r="ES190" s="8"/>
      <c r="ET190" s="8"/>
      <c r="EU190" s="8"/>
      <c r="EV190" s="8"/>
      <c r="EW190" s="8"/>
      <c r="EX190" s="8"/>
      <c r="EY190" s="8"/>
      <c r="EZ190" s="8"/>
      <c r="FA190" s="8"/>
      <c r="FB190" s="8"/>
      <c r="FC190" s="8"/>
      <c r="FD190" s="8"/>
      <c r="FE190" s="8"/>
      <c r="FF190" s="8"/>
      <c r="FG190" s="8"/>
      <c r="FH190" s="8"/>
      <c r="FI190" s="8"/>
      <c r="FJ190" s="8"/>
      <c r="FK190" s="8"/>
      <c r="FL190" s="8"/>
      <c r="FM190" s="8"/>
      <c r="FN190" s="8"/>
      <c r="FO190" s="8"/>
      <c r="FP190" s="8"/>
      <c r="FQ190" s="8"/>
      <c r="FR190" s="8"/>
      <c r="FS190" s="8"/>
      <c r="FT190" s="8"/>
      <c r="FU190" s="8"/>
      <c r="FV190" s="8"/>
      <c r="FW190" s="8"/>
      <c r="FX190" s="8"/>
      <c r="FY190" s="8"/>
      <c r="FZ190" s="8"/>
      <c r="GA190" s="8"/>
      <c r="GB190" s="8"/>
      <c r="GC190" s="8"/>
      <c r="GD190" s="8"/>
      <c r="GE190" s="8"/>
      <c r="GF190" s="8"/>
      <c r="GG190" s="8"/>
      <c r="GH190" s="8"/>
      <c r="GI190" s="8"/>
      <c r="GJ190" s="8"/>
      <c r="GK190" s="8"/>
      <c r="GL190" s="8"/>
      <c r="GM190" s="8"/>
      <c r="GN190" s="8"/>
      <c r="GO190" s="8"/>
      <c r="GP190" s="8"/>
      <c r="GQ190" s="8"/>
      <c r="GR190" s="8"/>
      <c r="GS190" s="8"/>
      <c r="GT190" s="8"/>
      <c r="GU190" s="8"/>
      <c r="GV190" s="8"/>
      <c r="GW190" s="8"/>
      <c r="GX190" s="8"/>
      <c r="GY190" s="8"/>
      <c r="GZ190" s="8"/>
      <c r="HA190" s="8"/>
      <c r="HB190" s="8"/>
      <c r="HC190" s="8"/>
      <c r="HD190" s="8"/>
      <c r="HE190" s="8"/>
      <c r="HF190" s="8"/>
      <c r="HG190" s="8"/>
      <c r="HH190" s="8"/>
      <c r="HI190" s="8"/>
      <c r="HJ190" s="8"/>
      <c r="HK190" s="8"/>
      <c r="HL190" s="8"/>
      <c r="HM190" s="8"/>
      <c r="HN190" s="8"/>
      <c r="HO190" s="8"/>
      <c r="HP190" s="8"/>
      <c r="HQ190" s="8"/>
      <c r="HR190" s="8"/>
      <c r="HS190" s="8"/>
      <c r="HT190" s="8"/>
      <c r="HU190" s="8"/>
      <c r="HV190" s="8"/>
      <c r="HW190" s="8"/>
      <c r="HX190" s="8"/>
      <c r="HY190" s="8"/>
      <c r="HZ190" s="8"/>
      <c r="IA190" s="8"/>
      <c r="IB190" s="8"/>
      <c r="IC190" s="8"/>
      <c r="ID190" s="8"/>
      <c r="IE190" s="8"/>
      <c r="IF190" s="8"/>
      <c r="IG190" s="8"/>
      <c r="IH190" s="8"/>
      <c r="II190" s="8"/>
      <c r="IJ190" s="8"/>
      <c r="IK190" s="8"/>
      <c r="IL190" s="8"/>
      <c r="IM190" s="8"/>
    </row>
    <row r="191" spans="1:247" x14ac:dyDescent="0.25">
      <c r="A191" s="4">
        <v>7515</v>
      </c>
      <c r="B191" s="9" t="s">
        <v>199</v>
      </c>
      <c r="C191" s="10" t="s">
        <v>11</v>
      </c>
      <c r="D191" s="1721" t="s">
        <v>3060</v>
      </c>
      <c r="E191" s="1728"/>
      <c r="F191" s="1723">
        <f t="shared" si="31"/>
        <v>1.0209999999999999</v>
      </c>
      <c r="G191" s="1729"/>
      <c r="H191" s="1728"/>
      <c r="I191" s="1730"/>
      <c r="J191" s="1730"/>
      <c r="K191" s="1730"/>
      <c r="L191" s="1730"/>
      <c r="M191" s="1730"/>
      <c r="N191" s="1729"/>
      <c r="O191" s="1731"/>
      <c r="P191" s="1728">
        <f t="shared" si="56"/>
        <v>1.032</v>
      </c>
      <c r="Q191" s="1729">
        <f t="shared" si="57"/>
        <v>1.0349999999999999</v>
      </c>
      <c r="R191" s="1732">
        <f t="shared" si="32"/>
        <v>1.0905505199999999</v>
      </c>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c r="CA191" s="8"/>
      <c r="CB191" s="8"/>
      <c r="CC191" s="8"/>
      <c r="CD191" s="8"/>
      <c r="CE191" s="8"/>
      <c r="CF191" s="8"/>
      <c r="CG191" s="8"/>
      <c r="CH191" s="8"/>
      <c r="CI191" s="8"/>
      <c r="CJ191" s="8"/>
      <c r="CK191" s="8"/>
      <c r="CL191" s="8"/>
      <c r="CM191" s="8"/>
      <c r="CN191" s="8"/>
      <c r="CO191" s="8"/>
      <c r="CP191" s="8"/>
      <c r="CQ191" s="8"/>
      <c r="CR191" s="8"/>
      <c r="CS191" s="8"/>
      <c r="CT191" s="8"/>
      <c r="CU191" s="8"/>
      <c r="CV191" s="8"/>
      <c r="CW191" s="8"/>
      <c r="CX191" s="8"/>
      <c r="CY191" s="8"/>
      <c r="CZ191" s="8"/>
      <c r="DA191" s="8"/>
      <c r="DB191" s="8"/>
      <c r="DC191" s="8"/>
      <c r="DD191" s="8"/>
      <c r="DE191" s="8"/>
      <c r="DF191" s="8"/>
      <c r="DG191" s="8"/>
      <c r="DH191" s="8"/>
      <c r="DI191" s="8"/>
      <c r="DJ191" s="8"/>
      <c r="DK191" s="8"/>
      <c r="DL191" s="8"/>
      <c r="DM191" s="8"/>
      <c r="DN191" s="8"/>
      <c r="DO191" s="8"/>
      <c r="DP191" s="8"/>
      <c r="DQ191" s="8"/>
      <c r="DR191" s="8"/>
      <c r="DS191" s="8"/>
      <c r="DT191" s="8"/>
      <c r="DU191" s="8"/>
      <c r="DV191" s="8"/>
      <c r="DW191" s="8"/>
      <c r="DX191" s="8"/>
      <c r="DY191" s="8"/>
      <c r="DZ191" s="8"/>
      <c r="EA191" s="8"/>
      <c r="EB191" s="8"/>
      <c r="EC191" s="8"/>
      <c r="ED191" s="8"/>
      <c r="EE191" s="8"/>
      <c r="EF191" s="8"/>
      <c r="EG191" s="8"/>
      <c r="EH191" s="8"/>
      <c r="EI191" s="8"/>
      <c r="EJ191" s="8"/>
      <c r="EK191" s="8"/>
      <c r="EL191" s="8"/>
      <c r="EM191" s="8"/>
      <c r="EN191" s="8"/>
      <c r="EO191" s="8"/>
      <c r="EP191" s="8"/>
      <c r="EQ191" s="8"/>
      <c r="ER191" s="8"/>
      <c r="ES191" s="8"/>
      <c r="ET191" s="8"/>
      <c r="EU191" s="8"/>
      <c r="EV191" s="8"/>
      <c r="EW191" s="8"/>
      <c r="EX191" s="8"/>
      <c r="EY191" s="8"/>
      <c r="EZ191" s="8"/>
      <c r="FA191" s="8"/>
      <c r="FB191" s="8"/>
      <c r="FC191" s="8"/>
      <c r="FD191" s="8"/>
      <c r="FE191" s="8"/>
      <c r="FF191" s="8"/>
      <c r="FG191" s="8"/>
      <c r="FH191" s="8"/>
      <c r="FI191" s="8"/>
      <c r="FJ191" s="8"/>
      <c r="FK191" s="8"/>
      <c r="FL191" s="8"/>
      <c r="FM191" s="8"/>
      <c r="FN191" s="8"/>
      <c r="FO191" s="8"/>
      <c r="FP191" s="8"/>
      <c r="FQ191" s="8"/>
      <c r="FR191" s="8"/>
      <c r="FS191" s="8"/>
      <c r="FT191" s="8"/>
      <c r="FU191" s="8"/>
      <c r="FV191" s="8"/>
      <c r="FW191" s="8"/>
      <c r="FX191" s="8"/>
      <c r="FY191" s="8"/>
      <c r="FZ191" s="8"/>
      <c r="GA191" s="8"/>
      <c r="GB191" s="8"/>
      <c r="GC191" s="8"/>
      <c r="GD191" s="8"/>
      <c r="GE191" s="8"/>
      <c r="GF191" s="8"/>
      <c r="GG191" s="8"/>
      <c r="GH191" s="8"/>
      <c r="GI191" s="8"/>
      <c r="GJ191" s="8"/>
      <c r="GK191" s="8"/>
      <c r="GL191" s="8"/>
      <c r="GM191" s="8"/>
      <c r="GN191" s="8"/>
      <c r="GO191" s="8"/>
      <c r="GP191" s="8"/>
      <c r="GQ191" s="8"/>
      <c r="GR191" s="8"/>
      <c r="GS191" s="8"/>
      <c r="GT191" s="8"/>
      <c r="GU191" s="8"/>
      <c r="GV191" s="8"/>
      <c r="GW191" s="8"/>
      <c r="GX191" s="8"/>
      <c r="GY191" s="8"/>
      <c r="GZ191" s="8"/>
      <c r="HA191" s="8"/>
      <c r="HB191" s="8"/>
      <c r="HC191" s="8"/>
      <c r="HD191" s="8"/>
      <c r="HE191" s="8"/>
      <c r="HF191" s="8"/>
      <c r="HG191" s="8"/>
      <c r="HH191" s="8"/>
      <c r="HI191" s="8"/>
      <c r="HJ191" s="8"/>
      <c r="HK191" s="8"/>
      <c r="HL191" s="8"/>
      <c r="HM191" s="8"/>
      <c r="HN191" s="8"/>
      <c r="HO191" s="8"/>
      <c r="HP191" s="8"/>
      <c r="HQ191" s="8"/>
      <c r="HR191" s="8"/>
      <c r="HS191" s="8"/>
      <c r="HT191" s="8"/>
      <c r="HU191" s="8"/>
      <c r="HV191" s="8"/>
      <c r="HW191" s="8"/>
      <c r="HX191" s="8"/>
      <c r="HY191" s="8"/>
      <c r="HZ191" s="8"/>
      <c r="IA191" s="8"/>
      <c r="IB191" s="8"/>
      <c r="IC191" s="8"/>
      <c r="ID191" s="8"/>
      <c r="IE191" s="8"/>
      <c r="IF191" s="8"/>
      <c r="IG191" s="8"/>
      <c r="IH191" s="8"/>
      <c r="II191" s="8"/>
      <c r="IJ191" s="8"/>
      <c r="IK191" s="8"/>
      <c r="IL191" s="8"/>
      <c r="IM191" s="8"/>
    </row>
    <row r="192" spans="1:247" x14ac:dyDescent="0.25">
      <c r="A192" s="4">
        <v>7516</v>
      </c>
      <c r="B192" s="9" t="s">
        <v>200</v>
      </c>
      <c r="C192" s="10" t="s">
        <v>11</v>
      </c>
      <c r="D192" s="1721" t="s">
        <v>3060</v>
      </c>
      <c r="E192" s="1728"/>
      <c r="F192" s="1723">
        <f t="shared" si="31"/>
        <v>1.0209999999999999</v>
      </c>
      <c r="G192" s="1729"/>
      <c r="H192" s="1728"/>
      <c r="I192" s="1730"/>
      <c r="J192" s="1730"/>
      <c r="K192" s="1730"/>
      <c r="L192" s="1730"/>
      <c r="M192" s="1730"/>
      <c r="N192" s="1729"/>
      <c r="O192" s="1731"/>
      <c r="P192" s="1728"/>
      <c r="Q192" s="1729"/>
      <c r="R192" s="1732">
        <f t="shared" si="32"/>
        <v>1.0209999999999999</v>
      </c>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c r="CA192" s="8"/>
      <c r="CB192" s="8"/>
      <c r="CC192" s="8"/>
      <c r="CD192" s="8"/>
      <c r="CE192" s="8"/>
      <c r="CF192" s="8"/>
      <c r="CG192" s="8"/>
      <c r="CH192" s="8"/>
      <c r="CI192" s="8"/>
      <c r="CJ192" s="8"/>
      <c r="CK192" s="8"/>
      <c r="CL192" s="8"/>
      <c r="CM192" s="8"/>
      <c r="CN192" s="8"/>
      <c r="CO192" s="8"/>
      <c r="CP192" s="8"/>
      <c r="CQ192" s="8"/>
      <c r="CR192" s="8"/>
      <c r="CS192" s="8"/>
      <c r="CT192" s="8"/>
      <c r="CU192" s="8"/>
      <c r="CV192" s="8"/>
      <c r="CW192" s="8"/>
      <c r="CX192" s="8"/>
      <c r="CY192" s="8"/>
      <c r="CZ192" s="8"/>
      <c r="DA192" s="8"/>
      <c r="DB192" s="8"/>
      <c r="DC192" s="8"/>
      <c r="DD192" s="8"/>
      <c r="DE192" s="8"/>
      <c r="DF192" s="8"/>
      <c r="DG192" s="8"/>
      <c r="DH192" s="8"/>
      <c r="DI192" s="8"/>
      <c r="DJ192" s="8"/>
      <c r="DK192" s="8"/>
      <c r="DL192" s="8"/>
      <c r="DM192" s="8"/>
      <c r="DN192" s="8"/>
      <c r="DO192" s="8"/>
      <c r="DP192" s="8"/>
      <c r="DQ192" s="8"/>
      <c r="DR192" s="8"/>
      <c r="DS192" s="8"/>
      <c r="DT192" s="8"/>
      <c r="DU192" s="8"/>
      <c r="DV192" s="8"/>
      <c r="DW192" s="8"/>
      <c r="DX192" s="8"/>
      <c r="DY192" s="8"/>
      <c r="DZ192" s="8"/>
      <c r="EA192" s="8"/>
      <c r="EB192" s="8"/>
      <c r="EC192" s="8"/>
      <c r="ED192" s="8"/>
      <c r="EE192" s="8"/>
      <c r="EF192" s="8"/>
      <c r="EG192" s="8"/>
      <c r="EH192" s="8"/>
      <c r="EI192" s="8"/>
      <c r="EJ192" s="8"/>
      <c r="EK192" s="8"/>
      <c r="EL192" s="8"/>
      <c r="EM192" s="8"/>
      <c r="EN192" s="8"/>
      <c r="EO192" s="8"/>
      <c r="EP192" s="8"/>
      <c r="EQ192" s="8"/>
      <c r="ER192" s="8"/>
      <c r="ES192" s="8"/>
      <c r="ET192" s="8"/>
      <c r="EU192" s="8"/>
      <c r="EV192" s="8"/>
      <c r="EW192" s="8"/>
      <c r="EX192" s="8"/>
      <c r="EY192" s="8"/>
      <c r="EZ192" s="8"/>
      <c r="FA192" s="8"/>
      <c r="FB192" s="8"/>
      <c r="FC192" s="8"/>
      <c r="FD192" s="8"/>
      <c r="FE192" s="8"/>
      <c r="FF192" s="8"/>
      <c r="FG192" s="8"/>
      <c r="FH192" s="8"/>
      <c r="FI192" s="8"/>
      <c r="FJ192" s="8"/>
      <c r="FK192" s="8"/>
      <c r="FL192" s="8"/>
      <c r="FM192" s="8"/>
      <c r="FN192" s="8"/>
      <c r="FO192" s="8"/>
      <c r="FP192" s="8"/>
      <c r="FQ192" s="8"/>
      <c r="FR192" s="8"/>
      <c r="FS192" s="8"/>
      <c r="FT192" s="8"/>
      <c r="FU192" s="8"/>
      <c r="FV192" s="8"/>
      <c r="FW192" s="8"/>
      <c r="FX192" s="8"/>
      <c r="FY192" s="8"/>
      <c r="FZ192" s="8"/>
      <c r="GA192" s="8"/>
      <c r="GB192" s="8"/>
      <c r="GC192" s="8"/>
      <c r="GD192" s="8"/>
      <c r="GE192" s="8"/>
      <c r="GF192" s="8"/>
      <c r="GG192" s="8"/>
      <c r="GH192" s="8"/>
      <c r="GI192" s="8"/>
      <c r="GJ192" s="8"/>
      <c r="GK192" s="8"/>
      <c r="GL192" s="8"/>
      <c r="GM192" s="8"/>
      <c r="GN192" s="8"/>
      <c r="GO192" s="8"/>
      <c r="GP192" s="8"/>
      <c r="GQ192" s="8"/>
      <c r="GR192" s="8"/>
      <c r="GS192" s="8"/>
      <c r="GT192" s="8"/>
      <c r="GU192" s="8"/>
      <c r="GV192" s="8"/>
      <c r="GW192" s="8"/>
      <c r="GX192" s="8"/>
      <c r="GY192" s="8"/>
      <c r="GZ192" s="8"/>
      <c r="HA192" s="8"/>
      <c r="HB192" s="8"/>
      <c r="HC192" s="8"/>
      <c r="HD192" s="8"/>
      <c r="HE192" s="8"/>
      <c r="HF192" s="8"/>
      <c r="HG192" s="8"/>
      <c r="HH192" s="8"/>
      <c r="HI192" s="8"/>
      <c r="HJ192" s="8"/>
      <c r="HK192" s="8"/>
      <c r="HL192" s="8"/>
      <c r="HM192" s="8"/>
      <c r="HN192" s="8"/>
      <c r="HO192" s="8"/>
      <c r="HP192" s="8"/>
      <c r="HQ192" s="8"/>
      <c r="HR192" s="8"/>
      <c r="HS192" s="8"/>
      <c r="HT192" s="8"/>
      <c r="HU192" s="8"/>
      <c r="HV192" s="8"/>
      <c r="HW192" s="8"/>
      <c r="HX192" s="8"/>
      <c r="HY192" s="8"/>
      <c r="HZ192" s="8"/>
      <c r="IA192" s="8"/>
      <c r="IB192" s="8"/>
      <c r="IC192" s="8"/>
      <c r="ID192" s="8"/>
      <c r="IE192" s="8"/>
      <c r="IF192" s="8"/>
      <c r="IG192" s="8"/>
      <c r="IH192" s="8"/>
      <c r="II192" s="8"/>
      <c r="IJ192" s="8"/>
      <c r="IK192" s="8"/>
      <c r="IL192" s="8"/>
      <c r="IM192" s="8"/>
    </row>
    <row r="193" spans="1:247" x14ac:dyDescent="0.25">
      <c r="A193" s="4">
        <v>7517</v>
      </c>
      <c r="B193" s="9" t="s">
        <v>201</v>
      </c>
      <c r="C193" s="10" t="s">
        <v>11</v>
      </c>
      <c r="D193" s="1721" t="s">
        <v>3060</v>
      </c>
      <c r="E193" s="1728"/>
      <c r="F193" s="1723">
        <f t="shared" si="31"/>
        <v>1.0209999999999999</v>
      </c>
      <c r="G193" s="1729"/>
      <c r="H193" s="1728"/>
      <c r="I193" s="1730"/>
      <c r="J193" s="1730"/>
      <c r="K193" s="1730"/>
      <c r="L193" s="1730"/>
      <c r="M193" s="1730"/>
      <c r="N193" s="1729"/>
      <c r="O193" s="1731"/>
      <c r="P193" s="1728"/>
      <c r="Q193" s="1729"/>
      <c r="R193" s="1732">
        <f t="shared" si="32"/>
        <v>1.0209999999999999</v>
      </c>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c r="CA193" s="8"/>
      <c r="CB193" s="8"/>
      <c r="CC193" s="8"/>
      <c r="CD193" s="8"/>
      <c r="CE193" s="8"/>
      <c r="CF193" s="8"/>
      <c r="CG193" s="8"/>
      <c r="CH193" s="8"/>
      <c r="CI193" s="8"/>
      <c r="CJ193" s="8"/>
      <c r="CK193" s="8"/>
      <c r="CL193" s="8"/>
      <c r="CM193" s="8"/>
      <c r="CN193" s="8"/>
      <c r="CO193" s="8"/>
      <c r="CP193" s="8"/>
      <c r="CQ193" s="8"/>
      <c r="CR193" s="8"/>
      <c r="CS193" s="8"/>
      <c r="CT193" s="8"/>
      <c r="CU193" s="8"/>
      <c r="CV193" s="8"/>
      <c r="CW193" s="8"/>
      <c r="CX193" s="8"/>
      <c r="CY193" s="8"/>
      <c r="CZ193" s="8"/>
      <c r="DA193" s="8"/>
      <c r="DB193" s="8"/>
      <c r="DC193" s="8"/>
      <c r="DD193" s="8"/>
      <c r="DE193" s="8"/>
      <c r="DF193" s="8"/>
      <c r="DG193" s="8"/>
      <c r="DH193" s="8"/>
      <c r="DI193" s="8"/>
      <c r="DJ193" s="8"/>
      <c r="DK193" s="8"/>
      <c r="DL193" s="8"/>
      <c r="DM193" s="8"/>
      <c r="DN193" s="8"/>
      <c r="DO193" s="8"/>
      <c r="DP193" s="8"/>
      <c r="DQ193" s="8"/>
      <c r="DR193" s="8"/>
      <c r="DS193" s="8"/>
      <c r="DT193" s="8"/>
      <c r="DU193" s="8"/>
      <c r="DV193" s="8"/>
      <c r="DW193" s="8"/>
      <c r="DX193" s="8"/>
      <c r="DY193" s="8"/>
      <c r="DZ193" s="8"/>
      <c r="EA193" s="8"/>
      <c r="EB193" s="8"/>
      <c r="EC193" s="8"/>
      <c r="ED193" s="8"/>
      <c r="EE193" s="8"/>
      <c r="EF193" s="8"/>
      <c r="EG193" s="8"/>
      <c r="EH193" s="8"/>
      <c r="EI193" s="8"/>
      <c r="EJ193" s="8"/>
      <c r="EK193" s="8"/>
      <c r="EL193" s="8"/>
      <c r="EM193" s="8"/>
      <c r="EN193" s="8"/>
      <c r="EO193" s="8"/>
      <c r="EP193" s="8"/>
      <c r="EQ193" s="8"/>
      <c r="ER193" s="8"/>
      <c r="ES193" s="8"/>
      <c r="ET193" s="8"/>
      <c r="EU193" s="8"/>
      <c r="EV193" s="8"/>
      <c r="EW193" s="8"/>
      <c r="EX193" s="8"/>
      <c r="EY193" s="8"/>
      <c r="EZ193" s="8"/>
      <c r="FA193" s="8"/>
      <c r="FB193" s="8"/>
      <c r="FC193" s="8"/>
      <c r="FD193" s="8"/>
      <c r="FE193" s="8"/>
      <c r="FF193" s="8"/>
      <c r="FG193" s="8"/>
      <c r="FH193" s="8"/>
      <c r="FI193" s="8"/>
      <c r="FJ193" s="8"/>
      <c r="FK193" s="8"/>
      <c r="FL193" s="8"/>
      <c r="FM193" s="8"/>
      <c r="FN193" s="8"/>
      <c r="FO193" s="8"/>
      <c r="FP193" s="8"/>
      <c r="FQ193" s="8"/>
      <c r="FR193" s="8"/>
      <c r="FS193" s="8"/>
      <c r="FT193" s="8"/>
      <c r="FU193" s="8"/>
      <c r="FV193" s="8"/>
      <c r="FW193" s="8"/>
      <c r="FX193" s="8"/>
      <c r="FY193" s="8"/>
      <c r="FZ193" s="8"/>
      <c r="GA193" s="8"/>
      <c r="GB193" s="8"/>
      <c r="GC193" s="8"/>
      <c r="GD193" s="8"/>
      <c r="GE193" s="8"/>
      <c r="GF193" s="8"/>
      <c r="GG193" s="8"/>
      <c r="GH193" s="8"/>
      <c r="GI193" s="8"/>
      <c r="GJ193" s="8"/>
      <c r="GK193" s="8"/>
      <c r="GL193" s="8"/>
      <c r="GM193" s="8"/>
      <c r="GN193" s="8"/>
      <c r="GO193" s="8"/>
      <c r="GP193" s="8"/>
      <c r="GQ193" s="8"/>
      <c r="GR193" s="8"/>
      <c r="GS193" s="8"/>
      <c r="GT193" s="8"/>
      <c r="GU193" s="8"/>
      <c r="GV193" s="8"/>
      <c r="GW193" s="8"/>
      <c r="GX193" s="8"/>
      <c r="GY193" s="8"/>
      <c r="GZ193" s="8"/>
      <c r="HA193" s="8"/>
      <c r="HB193" s="8"/>
      <c r="HC193" s="8"/>
      <c r="HD193" s="8"/>
      <c r="HE193" s="8"/>
      <c r="HF193" s="8"/>
      <c r="HG193" s="8"/>
      <c r="HH193" s="8"/>
      <c r="HI193" s="8"/>
      <c r="HJ193" s="8"/>
      <c r="HK193" s="8"/>
      <c r="HL193" s="8"/>
      <c r="HM193" s="8"/>
      <c r="HN193" s="8"/>
      <c r="HO193" s="8"/>
      <c r="HP193" s="8"/>
      <c r="HQ193" s="8"/>
      <c r="HR193" s="8"/>
      <c r="HS193" s="8"/>
      <c r="HT193" s="8"/>
      <c r="HU193" s="8"/>
      <c r="HV193" s="8"/>
      <c r="HW193" s="8"/>
      <c r="HX193" s="8"/>
      <c r="HY193" s="8"/>
      <c r="HZ193" s="8"/>
      <c r="IA193" s="8"/>
      <c r="IB193" s="8"/>
      <c r="IC193" s="8"/>
      <c r="ID193" s="8"/>
      <c r="IE193" s="8"/>
      <c r="IF193" s="8"/>
      <c r="IG193" s="8"/>
      <c r="IH193" s="8"/>
      <c r="II193" s="8"/>
      <c r="IJ193" s="8"/>
      <c r="IK193" s="8"/>
      <c r="IL193" s="8"/>
      <c r="IM193" s="8"/>
    </row>
    <row r="194" spans="1:247" x14ac:dyDescent="0.25">
      <c r="A194" s="4">
        <v>7518</v>
      </c>
      <c r="B194" s="9" t="s">
        <v>202</v>
      </c>
      <c r="C194" s="10" t="s">
        <v>11</v>
      </c>
      <c r="D194" s="1721" t="s">
        <v>3060</v>
      </c>
      <c r="E194" s="1728"/>
      <c r="F194" s="1723">
        <f t="shared" si="31"/>
        <v>1.0209999999999999</v>
      </c>
      <c r="G194" s="1729">
        <f>+$G$3</f>
        <v>1.0269999999999999</v>
      </c>
      <c r="H194" s="1728"/>
      <c r="I194" s="1730"/>
      <c r="J194" s="1730"/>
      <c r="K194" s="1730"/>
      <c r="L194" s="1730"/>
      <c r="M194" s="1730"/>
      <c r="N194" s="1729"/>
      <c r="O194" s="1731"/>
      <c r="P194" s="1728">
        <f>+$P$3</f>
        <v>1.032</v>
      </c>
      <c r="Q194" s="1729">
        <f>+$Q$3</f>
        <v>1.0349999999999999</v>
      </c>
      <c r="R194" s="1732">
        <f t="shared" si="32"/>
        <v>1.1199953840399997</v>
      </c>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c r="CA194" s="8"/>
      <c r="CB194" s="8"/>
      <c r="CC194" s="8"/>
      <c r="CD194" s="8"/>
      <c r="CE194" s="8"/>
      <c r="CF194" s="8"/>
      <c r="CG194" s="8"/>
      <c r="CH194" s="8"/>
      <c r="CI194" s="8"/>
      <c r="CJ194" s="8"/>
      <c r="CK194" s="8"/>
      <c r="CL194" s="8"/>
      <c r="CM194" s="8"/>
      <c r="CN194" s="8"/>
      <c r="CO194" s="8"/>
      <c r="CP194" s="8"/>
      <c r="CQ194" s="8"/>
      <c r="CR194" s="8"/>
      <c r="CS194" s="8"/>
      <c r="CT194" s="8"/>
      <c r="CU194" s="8"/>
      <c r="CV194" s="8"/>
      <c r="CW194" s="8"/>
      <c r="CX194" s="8"/>
      <c r="CY194" s="8"/>
      <c r="CZ194" s="8"/>
      <c r="DA194" s="8"/>
      <c r="DB194" s="8"/>
      <c r="DC194" s="8"/>
      <c r="DD194" s="8"/>
      <c r="DE194" s="8"/>
      <c r="DF194" s="8"/>
      <c r="DG194" s="8"/>
      <c r="DH194" s="8"/>
      <c r="DI194" s="8"/>
      <c r="DJ194" s="8"/>
      <c r="DK194" s="8"/>
      <c r="DL194" s="8"/>
      <c r="DM194" s="8"/>
      <c r="DN194" s="8"/>
      <c r="DO194" s="8"/>
      <c r="DP194" s="8"/>
      <c r="DQ194" s="8"/>
      <c r="DR194" s="8"/>
      <c r="DS194" s="8"/>
      <c r="DT194" s="8"/>
      <c r="DU194" s="8"/>
      <c r="DV194" s="8"/>
      <c r="DW194" s="8"/>
      <c r="DX194" s="8"/>
      <c r="DY194" s="8"/>
      <c r="DZ194" s="8"/>
      <c r="EA194" s="8"/>
      <c r="EB194" s="8"/>
      <c r="EC194" s="8"/>
      <c r="ED194" s="8"/>
      <c r="EE194" s="8"/>
      <c r="EF194" s="8"/>
      <c r="EG194" s="8"/>
      <c r="EH194" s="8"/>
      <c r="EI194" s="8"/>
      <c r="EJ194" s="8"/>
      <c r="EK194" s="8"/>
      <c r="EL194" s="8"/>
      <c r="EM194" s="8"/>
      <c r="EN194" s="8"/>
      <c r="EO194" s="8"/>
      <c r="EP194" s="8"/>
      <c r="EQ194" s="8"/>
      <c r="ER194" s="8"/>
      <c r="ES194" s="8"/>
      <c r="ET194" s="8"/>
      <c r="EU194" s="8"/>
      <c r="EV194" s="8"/>
      <c r="EW194" s="8"/>
      <c r="EX194" s="8"/>
      <c r="EY194" s="8"/>
      <c r="EZ194" s="8"/>
      <c r="FA194" s="8"/>
      <c r="FB194" s="8"/>
      <c r="FC194" s="8"/>
      <c r="FD194" s="8"/>
      <c r="FE194" s="8"/>
      <c r="FF194" s="8"/>
      <c r="FG194" s="8"/>
      <c r="FH194" s="8"/>
      <c r="FI194" s="8"/>
      <c r="FJ194" s="8"/>
      <c r="FK194" s="8"/>
      <c r="FL194" s="8"/>
      <c r="FM194" s="8"/>
      <c r="FN194" s="8"/>
      <c r="FO194" s="8"/>
      <c r="FP194" s="8"/>
      <c r="FQ194" s="8"/>
      <c r="FR194" s="8"/>
      <c r="FS194" s="8"/>
      <c r="FT194" s="8"/>
      <c r="FU194" s="8"/>
      <c r="FV194" s="8"/>
      <c r="FW194" s="8"/>
      <c r="FX194" s="8"/>
      <c r="FY194" s="8"/>
      <c r="FZ194" s="8"/>
      <c r="GA194" s="8"/>
      <c r="GB194" s="8"/>
      <c r="GC194" s="8"/>
      <c r="GD194" s="8"/>
      <c r="GE194" s="8"/>
      <c r="GF194" s="8"/>
      <c r="GG194" s="8"/>
      <c r="GH194" s="8"/>
      <c r="GI194" s="8"/>
      <c r="GJ194" s="8"/>
      <c r="GK194" s="8"/>
      <c r="GL194" s="8"/>
      <c r="GM194" s="8"/>
      <c r="GN194" s="8"/>
      <c r="GO194" s="8"/>
      <c r="GP194" s="8"/>
      <c r="GQ194" s="8"/>
      <c r="GR194" s="8"/>
      <c r="GS194" s="8"/>
      <c r="GT194" s="8"/>
      <c r="GU194" s="8"/>
      <c r="GV194" s="8"/>
      <c r="GW194" s="8"/>
      <c r="GX194" s="8"/>
      <c r="GY194" s="8"/>
      <c r="GZ194" s="8"/>
      <c r="HA194" s="8"/>
      <c r="HB194" s="8"/>
      <c r="HC194" s="8"/>
      <c r="HD194" s="8"/>
      <c r="HE194" s="8"/>
      <c r="HF194" s="8"/>
      <c r="HG194" s="8"/>
      <c r="HH194" s="8"/>
      <c r="HI194" s="8"/>
      <c r="HJ194" s="8"/>
      <c r="HK194" s="8"/>
      <c r="HL194" s="8"/>
      <c r="HM194" s="8"/>
      <c r="HN194" s="8"/>
      <c r="HO194" s="8"/>
      <c r="HP194" s="8"/>
      <c r="HQ194" s="8"/>
      <c r="HR194" s="8"/>
      <c r="HS194" s="8"/>
      <c r="HT194" s="8"/>
      <c r="HU194" s="8"/>
      <c r="HV194" s="8"/>
      <c r="HW194" s="8"/>
      <c r="HX194" s="8"/>
      <c r="HY194" s="8"/>
      <c r="HZ194" s="8"/>
      <c r="IA194" s="8"/>
      <c r="IB194" s="8"/>
      <c r="IC194" s="8"/>
      <c r="ID194" s="8"/>
      <c r="IE194" s="8"/>
      <c r="IF194" s="8"/>
      <c r="IG194" s="8"/>
      <c r="IH194" s="8"/>
      <c r="II194" s="8"/>
      <c r="IJ194" s="8"/>
      <c r="IK194" s="8"/>
      <c r="IL194" s="8"/>
      <c r="IM194" s="8"/>
    </row>
    <row r="195" spans="1:247" x14ac:dyDescent="0.25">
      <c r="A195" s="4">
        <v>7521</v>
      </c>
      <c r="B195" s="9" t="s">
        <v>203</v>
      </c>
      <c r="C195" s="10" t="s">
        <v>11</v>
      </c>
      <c r="D195" s="1721" t="s">
        <v>3060</v>
      </c>
      <c r="E195" s="1728"/>
      <c r="F195" s="1723">
        <f t="shared" si="31"/>
        <v>1.0209999999999999</v>
      </c>
      <c r="G195" s="1729"/>
      <c r="H195" s="1728"/>
      <c r="I195" s="1730"/>
      <c r="J195" s="1730"/>
      <c r="K195" s="1730"/>
      <c r="L195" s="1730"/>
      <c r="M195" s="1730"/>
      <c r="N195" s="1729"/>
      <c r="O195" s="1731"/>
      <c r="P195" s="1728"/>
      <c r="Q195" s="1729"/>
      <c r="R195" s="1732">
        <f t="shared" si="32"/>
        <v>1.0209999999999999</v>
      </c>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c r="CA195" s="8"/>
      <c r="CB195" s="8"/>
      <c r="CC195" s="8"/>
      <c r="CD195" s="8"/>
      <c r="CE195" s="8"/>
      <c r="CF195" s="8"/>
      <c r="CG195" s="8"/>
      <c r="CH195" s="8"/>
      <c r="CI195" s="8"/>
      <c r="CJ195" s="8"/>
      <c r="CK195" s="8"/>
      <c r="CL195" s="8"/>
      <c r="CM195" s="8"/>
      <c r="CN195" s="8"/>
      <c r="CO195" s="8"/>
      <c r="CP195" s="8"/>
      <c r="CQ195" s="8"/>
      <c r="CR195" s="8"/>
      <c r="CS195" s="8"/>
      <c r="CT195" s="8"/>
      <c r="CU195" s="8"/>
      <c r="CV195" s="8"/>
      <c r="CW195" s="8"/>
      <c r="CX195" s="8"/>
      <c r="CY195" s="8"/>
      <c r="CZ195" s="8"/>
      <c r="DA195" s="8"/>
      <c r="DB195" s="8"/>
      <c r="DC195" s="8"/>
      <c r="DD195" s="8"/>
      <c r="DE195" s="8"/>
      <c r="DF195" s="8"/>
      <c r="DG195" s="8"/>
      <c r="DH195" s="8"/>
      <c r="DI195" s="8"/>
      <c r="DJ195" s="8"/>
      <c r="DK195" s="8"/>
      <c r="DL195" s="8"/>
      <c r="DM195" s="8"/>
      <c r="DN195" s="8"/>
      <c r="DO195" s="8"/>
      <c r="DP195" s="8"/>
      <c r="DQ195" s="8"/>
      <c r="DR195" s="8"/>
      <c r="DS195" s="8"/>
      <c r="DT195" s="8"/>
      <c r="DU195" s="8"/>
      <c r="DV195" s="8"/>
      <c r="DW195" s="8"/>
      <c r="DX195" s="8"/>
      <c r="DY195" s="8"/>
      <c r="DZ195" s="8"/>
      <c r="EA195" s="8"/>
      <c r="EB195" s="8"/>
      <c r="EC195" s="8"/>
      <c r="ED195" s="8"/>
      <c r="EE195" s="8"/>
      <c r="EF195" s="8"/>
      <c r="EG195" s="8"/>
      <c r="EH195" s="8"/>
      <c r="EI195" s="8"/>
      <c r="EJ195" s="8"/>
      <c r="EK195" s="8"/>
      <c r="EL195" s="8"/>
      <c r="EM195" s="8"/>
      <c r="EN195" s="8"/>
      <c r="EO195" s="8"/>
      <c r="EP195" s="8"/>
      <c r="EQ195" s="8"/>
      <c r="ER195" s="8"/>
      <c r="ES195" s="8"/>
      <c r="ET195" s="8"/>
      <c r="EU195" s="8"/>
      <c r="EV195" s="8"/>
      <c r="EW195" s="8"/>
      <c r="EX195" s="8"/>
      <c r="EY195" s="8"/>
      <c r="EZ195" s="8"/>
      <c r="FA195" s="8"/>
      <c r="FB195" s="8"/>
      <c r="FC195" s="8"/>
      <c r="FD195" s="8"/>
      <c r="FE195" s="8"/>
      <c r="FF195" s="8"/>
      <c r="FG195" s="8"/>
      <c r="FH195" s="8"/>
      <c r="FI195" s="8"/>
      <c r="FJ195" s="8"/>
      <c r="FK195" s="8"/>
      <c r="FL195" s="8"/>
      <c r="FM195" s="8"/>
      <c r="FN195" s="8"/>
      <c r="FO195" s="8"/>
      <c r="FP195" s="8"/>
      <c r="FQ195" s="8"/>
      <c r="FR195" s="8"/>
      <c r="FS195" s="8"/>
      <c r="FT195" s="8"/>
      <c r="FU195" s="8"/>
      <c r="FV195" s="8"/>
      <c r="FW195" s="8"/>
      <c r="FX195" s="8"/>
      <c r="FY195" s="8"/>
      <c r="FZ195" s="8"/>
      <c r="GA195" s="8"/>
      <c r="GB195" s="8"/>
      <c r="GC195" s="8"/>
      <c r="GD195" s="8"/>
      <c r="GE195" s="8"/>
      <c r="GF195" s="8"/>
      <c r="GG195" s="8"/>
      <c r="GH195" s="8"/>
      <c r="GI195" s="8"/>
      <c r="GJ195" s="8"/>
      <c r="GK195" s="8"/>
      <c r="GL195" s="8"/>
      <c r="GM195" s="8"/>
      <c r="GN195" s="8"/>
      <c r="GO195" s="8"/>
      <c r="GP195" s="8"/>
      <c r="GQ195" s="8"/>
      <c r="GR195" s="8"/>
      <c r="GS195" s="8"/>
      <c r="GT195" s="8"/>
      <c r="GU195" s="8"/>
      <c r="GV195" s="8"/>
      <c r="GW195" s="8"/>
      <c r="GX195" s="8"/>
      <c r="GY195" s="8"/>
      <c r="GZ195" s="8"/>
      <c r="HA195" s="8"/>
      <c r="HB195" s="8"/>
      <c r="HC195" s="8"/>
      <c r="HD195" s="8"/>
      <c r="HE195" s="8"/>
      <c r="HF195" s="8"/>
      <c r="HG195" s="8"/>
      <c r="HH195" s="8"/>
      <c r="HI195" s="8"/>
      <c r="HJ195" s="8"/>
      <c r="HK195" s="8"/>
      <c r="HL195" s="8"/>
      <c r="HM195" s="8"/>
      <c r="HN195" s="8"/>
      <c r="HO195" s="8"/>
      <c r="HP195" s="8"/>
      <c r="HQ195" s="8"/>
      <c r="HR195" s="8"/>
      <c r="HS195" s="8"/>
      <c r="HT195" s="8"/>
      <c r="HU195" s="8"/>
      <c r="HV195" s="8"/>
      <c r="HW195" s="8"/>
      <c r="HX195" s="8"/>
      <c r="HY195" s="8"/>
      <c r="HZ195" s="8"/>
      <c r="IA195" s="8"/>
      <c r="IB195" s="8"/>
      <c r="IC195" s="8"/>
      <c r="ID195" s="8"/>
      <c r="IE195" s="8"/>
      <c r="IF195" s="8"/>
      <c r="IG195" s="8"/>
      <c r="IH195" s="8"/>
      <c r="II195" s="8"/>
      <c r="IJ195" s="8"/>
      <c r="IK195" s="8"/>
      <c r="IL195" s="8"/>
      <c r="IM195" s="8"/>
    </row>
    <row r="196" spans="1:247" x14ac:dyDescent="0.25">
      <c r="A196" s="4">
        <v>7523</v>
      </c>
      <c r="B196" s="9" t="s">
        <v>204</v>
      </c>
      <c r="C196" s="10" t="s">
        <v>11</v>
      </c>
      <c r="D196" s="1721" t="s">
        <v>3060</v>
      </c>
      <c r="E196" s="1728"/>
      <c r="F196" s="1723">
        <f t="shared" ref="F196:F263" si="58">+$F$3</f>
        <v>1.0209999999999999</v>
      </c>
      <c r="G196" s="1729">
        <f>+$G$3</f>
        <v>1.0269999999999999</v>
      </c>
      <c r="H196" s="1728"/>
      <c r="I196" s="1730"/>
      <c r="J196" s="1730"/>
      <c r="K196" s="1730"/>
      <c r="L196" s="1730"/>
      <c r="M196" s="1730"/>
      <c r="N196" s="1729"/>
      <c r="O196" s="1731"/>
      <c r="P196" s="1728"/>
      <c r="Q196" s="1729"/>
      <c r="R196" s="1732">
        <f t="shared" ref="R196:R263" si="59">PRODUCT(E196:Q196)</f>
        <v>1.0485669999999998</v>
      </c>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c r="CA196" s="8"/>
      <c r="CB196" s="8"/>
      <c r="CC196" s="8"/>
      <c r="CD196" s="8"/>
      <c r="CE196" s="8"/>
      <c r="CF196" s="8"/>
      <c r="CG196" s="8"/>
      <c r="CH196" s="8"/>
      <c r="CI196" s="8"/>
      <c r="CJ196" s="8"/>
      <c r="CK196" s="8"/>
      <c r="CL196" s="8"/>
      <c r="CM196" s="8"/>
      <c r="CN196" s="8"/>
      <c r="CO196" s="8"/>
      <c r="CP196" s="8"/>
      <c r="CQ196" s="8"/>
      <c r="CR196" s="8"/>
      <c r="CS196" s="8"/>
      <c r="CT196" s="8"/>
      <c r="CU196" s="8"/>
      <c r="CV196" s="8"/>
      <c r="CW196" s="8"/>
      <c r="CX196" s="8"/>
      <c r="CY196" s="8"/>
      <c r="CZ196" s="8"/>
      <c r="DA196" s="8"/>
      <c r="DB196" s="8"/>
      <c r="DC196" s="8"/>
      <c r="DD196" s="8"/>
      <c r="DE196" s="8"/>
      <c r="DF196" s="8"/>
      <c r="DG196" s="8"/>
      <c r="DH196" s="8"/>
      <c r="DI196" s="8"/>
      <c r="DJ196" s="8"/>
      <c r="DK196" s="8"/>
      <c r="DL196" s="8"/>
      <c r="DM196" s="8"/>
      <c r="DN196" s="8"/>
      <c r="DO196" s="8"/>
      <c r="DP196" s="8"/>
      <c r="DQ196" s="8"/>
      <c r="DR196" s="8"/>
      <c r="DS196" s="8"/>
      <c r="DT196" s="8"/>
      <c r="DU196" s="8"/>
      <c r="DV196" s="8"/>
      <c r="DW196" s="8"/>
      <c r="DX196" s="8"/>
      <c r="DY196" s="8"/>
      <c r="DZ196" s="8"/>
      <c r="EA196" s="8"/>
      <c r="EB196" s="8"/>
      <c r="EC196" s="8"/>
      <c r="ED196" s="8"/>
      <c r="EE196" s="8"/>
      <c r="EF196" s="8"/>
      <c r="EG196" s="8"/>
      <c r="EH196" s="8"/>
      <c r="EI196" s="8"/>
      <c r="EJ196" s="8"/>
      <c r="EK196" s="8"/>
      <c r="EL196" s="8"/>
      <c r="EM196" s="8"/>
      <c r="EN196" s="8"/>
      <c r="EO196" s="8"/>
      <c r="EP196" s="8"/>
      <c r="EQ196" s="8"/>
      <c r="ER196" s="8"/>
      <c r="ES196" s="8"/>
      <c r="ET196" s="8"/>
      <c r="EU196" s="8"/>
      <c r="EV196" s="8"/>
      <c r="EW196" s="8"/>
      <c r="EX196" s="8"/>
      <c r="EY196" s="8"/>
      <c r="EZ196" s="8"/>
      <c r="FA196" s="8"/>
      <c r="FB196" s="8"/>
      <c r="FC196" s="8"/>
      <c r="FD196" s="8"/>
      <c r="FE196" s="8"/>
      <c r="FF196" s="8"/>
      <c r="FG196" s="8"/>
      <c r="FH196" s="8"/>
      <c r="FI196" s="8"/>
      <c r="FJ196" s="8"/>
      <c r="FK196" s="8"/>
      <c r="FL196" s="8"/>
      <c r="FM196" s="8"/>
      <c r="FN196" s="8"/>
      <c r="FO196" s="8"/>
      <c r="FP196" s="8"/>
      <c r="FQ196" s="8"/>
      <c r="FR196" s="8"/>
      <c r="FS196" s="8"/>
      <c r="FT196" s="8"/>
      <c r="FU196" s="8"/>
      <c r="FV196" s="8"/>
      <c r="FW196" s="8"/>
      <c r="FX196" s="8"/>
      <c r="FY196" s="8"/>
      <c r="FZ196" s="8"/>
      <c r="GA196" s="8"/>
      <c r="GB196" s="8"/>
      <c r="GC196" s="8"/>
      <c r="GD196" s="8"/>
      <c r="GE196" s="8"/>
      <c r="GF196" s="8"/>
      <c r="GG196" s="8"/>
      <c r="GH196" s="8"/>
      <c r="GI196" s="8"/>
      <c r="GJ196" s="8"/>
      <c r="GK196" s="8"/>
      <c r="GL196" s="8"/>
      <c r="GM196" s="8"/>
      <c r="GN196" s="8"/>
      <c r="GO196" s="8"/>
      <c r="GP196" s="8"/>
      <c r="GQ196" s="8"/>
      <c r="GR196" s="8"/>
      <c r="GS196" s="8"/>
      <c r="GT196" s="8"/>
      <c r="GU196" s="8"/>
      <c r="GV196" s="8"/>
      <c r="GW196" s="8"/>
      <c r="GX196" s="8"/>
      <c r="GY196" s="8"/>
      <c r="GZ196" s="8"/>
      <c r="HA196" s="8"/>
      <c r="HB196" s="8"/>
      <c r="HC196" s="8"/>
      <c r="HD196" s="8"/>
      <c r="HE196" s="8"/>
      <c r="HF196" s="8"/>
      <c r="HG196" s="8"/>
      <c r="HH196" s="8"/>
      <c r="HI196" s="8"/>
      <c r="HJ196" s="8"/>
      <c r="HK196" s="8"/>
      <c r="HL196" s="8"/>
      <c r="HM196" s="8"/>
      <c r="HN196" s="8"/>
      <c r="HO196" s="8"/>
      <c r="HP196" s="8"/>
      <c r="HQ196" s="8"/>
      <c r="HR196" s="8"/>
      <c r="HS196" s="8"/>
      <c r="HT196" s="8"/>
      <c r="HU196" s="8"/>
      <c r="HV196" s="8"/>
      <c r="HW196" s="8"/>
      <c r="HX196" s="8"/>
      <c r="HY196" s="8"/>
      <c r="HZ196" s="8"/>
      <c r="IA196" s="8"/>
      <c r="IB196" s="8"/>
      <c r="IC196" s="8"/>
      <c r="ID196" s="8"/>
      <c r="IE196" s="8"/>
      <c r="IF196" s="8"/>
      <c r="IG196" s="8"/>
      <c r="IH196" s="8"/>
      <c r="II196" s="8"/>
      <c r="IJ196" s="8"/>
      <c r="IK196" s="8"/>
      <c r="IL196" s="8"/>
      <c r="IM196" s="8"/>
    </row>
    <row r="197" spans="1:247" x14ac:dyDescent="0.25">
      <c r="A197" s="4">
        <v>7524</v>
      </c>
      <c r="B197" s="9" t="s">
        <v>205</v>
      </c>
      <c r="C197" s="10" t="s">
        <v>11</v>
      </c>
      <c r="D197" s="1721" t="s">
        <v>3060</v>
      </c>
      <c r="E197" s="1728"/>
      <c r="F197" s="1723">
        <f t="shared" si="58"/>
        <v>1.0209999999999999</v>
      </c>
      <c r="G197" s="1729">
        <f>+$G$3</f>
        <v>1.0269999999999999</v>
      </c>
      <c r="H197" s="1728"/>
      <c r="I197" s="1730"/>
      <c r="J197" s="1730"/>
      <c r="K197" s="1730"/>
      <c r="L197" s="1730"/>
      <c r="M197" s="1730"/>
      <c r="N197" s="1729"/>
      <c r="O197" s="1731"/>
      <c r="P197" s="1728">
        <f>+$P$3</f>
        <v>1.032</v>
      </c>
      <c r="Q197" s="1729">
        <f>+$Q$3</f>
        <v>1.0349999999999999</v>
      </c>
      <c r="R197" s="1732">
        <f t="shared" si="59"/>
        <v>1.1199953840399997</v>
      </c>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c r="CA197" s="8"/>
      <c r="CB197" s="8"/>
      <c r="CC197" s="8"/>
      <c r="CD197" s="8"/>
      <c r="CE197" s="8"/>
      <c r="CF197" s="8"/>
      <c r="CG197" s="8"/>
      <c r="CH197" s="8"/>
      <c r="CI197" s="8"/>
      <c r="CJ197" s="8"/>
      <c r="CK197" s="8"/>
      <c r="CL197" s="8"/>
      <c r="CM197" s="8"/>
      <c r="CN197" s="8"/>
      <c r="CO197" s="8"/>
      <c r="CP197" s="8"/>
      <c r="CQ197" s="8"/>
      <c r="CR197" s="8"/>
      <c r="CS197" s="8"/>
      <c r="CT197" s="8"/>
      <c r="CU197" s="8"/>
      <c r="CV197" s="8"/>
      <c r="CW197" s="8"/>
      <c r="CX197" s="8"/>
      <c r="CY197" s="8"/>
      <c r="CZ197" s="8"/>
      <c r="DA197" s="8"/>
      <c r="DB197" s="8"/>
      <c r="DC197" s="8"/>
      <c r="DD197" s="8"/>
      <c r="DE197" s="8"/>
      <c r="DF197" s="8"/>
      <c r="DG197" s="8"/>
      <c r="DH197" s="8"/>
      <c r="DI197" s="8"/>
      <c r="DJ197" s="8"/>
      <c r="DK197" s="8"/>
      <c r="DL197" s="8"/>
      <c r="DM197" s="8"/>
      <c r="DN197" s="8"/>
      <c r="DO197" s="8"/>
      <c r="DP197" s="8"/>
      <c r="DQ197" s="8"/>
      <c r="DR197" s="8"/>
      <c r="DS197" s="8"/>
      <c r="DT197" s="8"/>
      <c r="DU197" s="8"/>
      <c r="DV197" s="8"/>
      <c r="DW197" s="8"/>
      <c r="DX197" s="8"/>
      <c r="DY197" s="8"/>
      <c r="DZ197" s="8"/>
      <c r="EA197" s="8"/>
      <c r="EB197" s="8"/>
      <c r="EC197" s="8"/>
      <c r="ED197" s="8"/>
      <c r="EE197" s="8"/>
      <c r="EF197" s="8"/>
      <c r="EG197" s="8"/>
      <c r="EH197" s="8"/>
      <c r="EI197" s="8"/>
      <c r="EJ197" s="8"/>
      <c r="EK197" s="8"/>
      <c r="EL197" s="8"/>
      <c r="EM197" s="8"/>
      <c r="EN197" s="8"/>
      <c r="EO197" s="8"/>
      <c r="EP197" s="8"/>
      <c r="EQ197" s="8"/>
      <c r="ER197" s="8"/>
      <c r="ES197" s="8"/>
      <c r="ET197" s="8"/>
      <c r="EU197" s="8"/>
      <c r="EV197" s="8"/>
      <c r="EW197" s="8"/>
      <c r="EX197" s="8"/>
      <c r="EY197" s="8"/>
      <c r="EZ197" s="8"/>
      <c r="FA197" s="8"/>
      <c r="FB197" s="8"/>
      <c r="FC197" s="8"/>
      <c r="FD197" s="8"/>
      <c r="FE197" s="8"/>
      <c r="FF197" s="8"/>
      <c r="FG197" s="8"/>
      <c r="FH197" s="8"/>
      <c r="FI197" s="8"/>
      <c r="FJ197" s="8"/>
      <c r="FK197" s="8"/>
      <c r="FL197" s="8"/>
      <c r="FM197" s="8"/>
      <c r="FN197" s="8"/>
      <c r="FO197" s="8"/>
      <c r="FP197" s="8"/>
      <c r="FQ197" s="8"/>
      <c r="FR197" s="8"/>
      <c r="FS197" s="8"/>
      <c r="FT197" s="8"/>
      <c r="FU197" s="8"/>
      <c r="FV197" s="8"/>
      <c r="FW197" s="8"/>
      <c r="FX197" s="8"/>
      <c r="FY197" s="8"/>
      <c r="FZ197" s="8"/>
      <c r="GA197" s="8"/>
      <c r="GB197" s="8"/>
      <c r="GC197" s="8"/>
      <c r="GD197" s="8"/>
      <c r="GE197" s="8"/>
      <c r="GF197" s="8"/>
      <c r="GG197" s="8"/>
      <c r="GH197" s="8"/>
      <c r="GI197" s="8"/>
      <c r="GJ197" s="8"/>
      <c r="GK197" s="8"/>
      <c r="GL197" s="8"/>
      <c r="GM197" s="8"/>
      <c r="GN197" s="8"/>
      <c r="GO197" s="8"/>
      <c r="GP197" s="8"/>
      <c r="GQ197" s="8"/>
      <c r="GR197" s="8"/>
      <c r="GS197" s="8"/>
      <c r="GT197" s="8"/>
      <c r="GU197" s="8"/>
      <c r="GV197" s="8"/>
      <c r="GW197" s="8"/>
      <c r="GX197" s="8"/>
      <c r="GY197" s="8"/>
      <c r="GZ197" s="8"/>
      <c r="HA197" s="8"/>
      <c r="HB197" s="8"/>
      <c r="HC197" s="8"/>
      <c r="HD197" s="8"/>
      <c r="HE197" s="8"/>
      <c r="HF197" s="8"/>
      <c r="HG197" s="8"/>
      <c r="HH197" s="8"/>
      <c r="HI197" s="8"/>
      <c r="HJ197" s="8"/>
      <c r="HK197" s="8"/>
      <c r="HL197" s="8"/>
      <c r="HM197" s="8"/>
      <c r="HN197" s="8"/>
      <c r="HO197" s="8"/>
      <c r="HP197" s="8"/>
      <c r="HQ197" s="8"/>
      <c r="HR197" s="8"/>
      <c r="HS197" s="8"/>
      <c r="HT197" s="8"/>
      <c r="HU197" s="8"/>
      <c r="HV197" s="8"/>
      <c r="HW197" s="8"/>
      <c r="HX197" s="8"/>
      <c r="HY197" s="8"/>
      <c r="HZ197" s="8"/>
      <c r="IA197" s="8"/>
      <c r="IB197" s="8"/>
      <c r="IC197" s="8"/>
      <c r="ID197" s="8"/>
      <c r="IE197" s="8"/>
      <c r="IF197" s="8"/>
      <c r="IG197" s="8"/>
      <c r="IH197" s="8"/>
      <c r="II197" s="8"/>
      <c r="IJ197" s="8"/>
      <c r="IK197" s="8"/>
      <c r="IL197" s="8"/>
      <c r="IM197" s="8"/>
    </row>
    <row r="198" spans="1:247" x14ac:dyDescent="0.25">
      <c r="A198" s="4">
        <v>7531</v>
      </c>
      <c r="B198" s="9" t="s">
        <v>206</v>
      </c>
      <c r="C198" s="10" t="s">
        <v>9</v>
      </c>
      <c r="D198" s="1721" t="s">
        <v>3060</v>
      </c>
      <c r="E198" s="1728"/>
      <c r="F198" s="1723">
        <f t="shared" si="58"/>
        <v>1.0209999999999999</v>
      </c>
      <c r="G198" s="1729"/>
      <c r="H198" s="1728"/>
      <c r="I198" s="1730"/>
      <c r="J198" s="1730"/>
      <c r="K198" s="1730"/>
      <c r="L198" s="1730"/>
      <c r="M198" s="1730"/>
      <c r="N198" s="1729"/>
      <c r="O198" s="1731"/>
      <c r="P198" s="1728"/>
      <c r="Q198" s="1729"/>
      <c r="R198" s="1732">
        <f t="shared" si="59"/>
        <v>1.0209999999999999</v>
      </c>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c r="CA198" s="8"/>
      <c r="CB198" s="8"/>
      <c r="CC198" s="8"/>
      <c r="CD198" s="8"/>
      <c r="CE198" s="8"/>
      <c r="CF198" s="8"/>
      <c r="CG198" s="8"/>
      <c r="CH198" s="8"/>
      <c r="CI198" s="8"/>
      <c r="CJ198" s="8"/>
      <c r="CK198" s="8"/>
      <c r="CL198" s="8"/>
      <c r="CM198" s="8"/>
      <c r="CN198" s="8"/>
      <c r="CO198" s="8"/>
      <c r="CP198" s="8"/>
      <c r="CQ198" s="8"/>
      <c r="CR198" s="8"/>
      <c r="CS198" s="8"/>
      <c r="CT198" s="8"/>
      <c r="CU198" s="8"/>
      <c r="CV198" s="8"/>
      <c r="CW198" s="8"/>
      <c r="CX198" s="8"/>
      <c r="CY198" s="8"/>
      <c r="CZ198" s="8"/>
      <c r="DA198" s="8"/>
      <c r="DB198" s="8"/>
      <c r="DC198" s="8"/>
      <c r="DD198" s="8"/>
      <c r="DE198" s="8"/>
      <c r="DF198" s="8"/>
      <c r="DG198" s="8"/>
      <c r="DH198" s="8"/>
      <c r="DI198" s="8"/>
      <c r="DJ198" s="8"/>
      <c r="DK198" s="8"/>
      <c r="DL198" s="8"/>
      <c r="DM198" s="8"/>
      <c r="DN198" s="8"/>
      <c r="DO198" s="8"/>
      <c r="DP198" s="8"/>
      <c r="DQ198" s="8"/>
      <c r="DR198" s="8"/>
      <c r="DS198" s="8"/>
      <c r="DT198" s="8"/>
      <c r="DU198" s="8"/>
      <c r="DV198" s="8"/>
      <c r="DW198" s="8"/>
      <c r="DX198" s="8"/>
      <c r="DY198" s="8"/>
      <c r="DZ198" s="8"/>
      <c r="EA198" s="8"/>
      <c r="EB198" s="8"/>
      <c r="EC198" s="8"/>
      <c r="ED198" s="8"/>
      <c r="EE198" s="8"/>
      <c r="EF198" s="8"/>
      <c r="EG198" s="8"/>
      <c r="EH198" s="8"/>
      <c r="EI198" s="8"/>
      <c r="EJ198" s="8"/>
      <c r="EK198" s="8"/>
      <c r="EL198" s="8"/>
      <c r="EM198" s="8"/>
      <c r="EN198" s="8"/>
      <c r="EO198" s="8"/>
      <c r="EP198" s="8"/>
      <c r="EQ198" s="8"/>
      <c r="ER198" s="8"/>
      <c r="ES198" s="8"/>
      <c r="ET198" s="8"/>
      <c r="EU198" s="8"/>
      <c r="EV198" s="8"/>
      <c r="EW198" s="8"/>
      <c r="EX198" s="8"/>
      <c r="EY198" s="8"/>
      <c r="EZ198" s="8"/>
      <c r="FA198" s="8"/>
      <c r="FB198" s="8"/>
      <c r="FC198" s="8"/>
      <c r="FD198" s="8"/>
      <c r="FE198" s="8"/>
      <c r="FF198" s="8"/>
      <c r="FG198" s="8"/>
      <c r="FH198" s="8"/>
      <c r="FI198" s="8"/>
      <c r="FJ198" s="8"/>
      <c r="FK198" s="8"/>
      <c r="FL198" s="8"/>
      <c r="FM198" s="8"/>
      <c r="FN198" s="8"/>
      <c r="FO198" s="8"/>
      <c r="FP198" s="8"/>
      <c r="FQ198" s="8"/>
      <c r="FR198" s="8"/>
      <c r="FS198" s="8"/>
      <c r="FT198" s="8"/>
      <c r="FU198" s="8"/>
      <c r="FV198" s="8"/>
      <c r="FW198" s="8"/>
      <c r="FX198" s="8"/>
      <c r="FY198" s="8"/>
      <c r="FZ198" s="8"/>
      <c r="GA198" s="8"/>
      <c r="GB198" s="8"/>
      <c r="GC198" s="8"/>
      <c r="GD198" s="8"/>
      <c r="GE198" s="8"/>
      <c r="GF198" s="8"/>
      <c r="GG198" s="8"/>
      <c r="GH198" s="8"/>
      <c r="GI198" s="8"/>
      <c r="GJ198" s="8"/>
      <c r="GK198" s="8"/>
      <c r="GL198" s="8"/>
      <c r="GM198" s="8"/>
      <c r="GN198" s="8"/>
      <c r="GO198" s="8"/>
      <c r="GP198" s="8"/>
      <c r="GQ198" s="8"/>
      <c r="GR198" s="8"/>
      <c r="GS198" s="8"/>
      <c r="GT198" s="8"/>
      <c r="GU198" s="8"/>
      <c r="GV198" s="8"/>
      <c r="GW198" s="8"/>
      <c r="GX198" s="8"/>
      <c r="GY198" s="8"/>
      <c r="GZ198" s="8"/>
      <c r="HA198" s="8"/>
      <c r="HB198" s="8"/>
      <c r="HC198" s="8"/>
      <c r="HD198" s="8"/>
      <c r="HE198" s="8"/>
      <c r="HF198" s="8"/>
      <c r="HG198" s="8"/>
      <c r="HH198" s="8"/>
      <c r="HI198" s="8"/>
      <c r="HJ198" s="8"/>
      <c r="HK198" s="8"/>
      <c r="HL198" s="8"/>
      <c r="HM198" s="8"/>
      <c r="HN198" s="8"/>
      <c r="HO198" s="8"/>
      <c r="HP198" s="8"/>
      <c r="HQ198" s="8"/>
      <c r="HR198" s="8"/>
      <c r="HS198" s="8"/>
      <c r="HT198" s="8"/>
      <c r="HU198" s="8"/>
      <c r="HV198" s="8"/>
      <c r="HW198" s="8"/>
      <c r="HX198" s="8"/>
      <c r="HY198" s="8"/>
      <c r="HZ198" s="8"/>
      <c r="IA198" s="8"/>
      <c r="IB198" s="8"/>
      <c r="IC198" s="8"/>
      <c r="ID198" s="8"/>
      <c r="IE198" s="8"/>
      <c r="IF198" s="8"/>
      <c r="IG198" s="8"/>
      <c r="IH198" s="8"/>
      <c r="II198" s="8"/>
      <c r="IJ198" s="8"/>
      <c r="IK198" s="8"/>
      <c r="IL198" s="8"/>
      <c r="IM198" s="8"/>
    </row>
    <row r="199" spans="1:247" x14ac:dyDescent="0.25">
      <c r="A199" s="4">
        <v>7532</v>
      </c>
      <c r="B199" s="9" t="s">
        <v>207</v>
      </c>
      <c r="C199" s="10" t="s">
        <v>11</v>
      </c>
      <c r="D199" s="1721" t="s">
        <v>3060</v>
      </c>
      <c r="E199" s="1728"/>
      <c r="F199" s="1723">
        <f t="shared" si="58"/>
        <v>1.0209999999999999</v>
      </c>
      <c r="G199" s="1729">
        <f>+$G$3</f>
        <v>1.0269999999999999</v>
      </c>
      <c r="H199" s="1728"/>
      <c r="I199" s="1730"/>
      <c r="J199" s="1730"/>
      <c r="K199" s="1730"/>
      <c r="L199" s="1730"/>
      <c r="M199" s="1730"/>
      <c r="N199" s="1729"/>
      <c r="O199" s="1731"/>
      <c r="P199" s="1728"/>
      <c r="Q199" s="1729"/>
      <c r="R199" s="1732">
        <f t="shared" si="59"/>
        <v>1.0485669999999998</v>
      </c>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c r="CA199" s="8"/>
      <c r="CB199" s="8"/>
      <c r="CC199" s="8"/>
      <c r="CD199" s="8"/>
      <c r="CE199" s="8"/>
      <c r="CF199" s="8"/>
      <c r="CG199" s="8"/>
      <c r="CH199" s="8"/>
      <c r="CI199" s="8"/>
      <c r="CJ199" s="8"/>
      <c r="CK199" s="8"/>
      <c r="CL199" s="8"/>
      <c r="CM199" s="8"/>
      <c r="CN199" s="8"/>
      <c r="CO199" s="8"/>
      <c r="CP199" s="8"/>
      <c r="CQ199" s="8"/>
      <c r="CR199" s="8"/>
      <c r="CS199" s="8"/>
      <c r="CT199" s="8"/>
      <c r="CU199" s="8"/>
      <c r="CV199" s="8"/>
      <c r="CW199" s="8"/>
      <c r="CX199" s="8"/>
      <c r="CY199" s="8"/>
      <c r="CZ199" s="8"/>
      <c r="DA199" s="8"/>
      <c r="DB199" s="8"/>
      <c r="DC199" s="8"/>
      <c r="DD199" s="8"/>
      <c r="DE199" s="8"/>
      <c r="DF199" s="8"/>
      <c r="DG199" s="8"/>
      <c r="DH199" s="8"/>
      <c r="DI199" s="8"/>
      <c r="DJ199" s="8"/>
      <c r="DK199" s="8"/>
      <c r="DL199" s="8"/>
      <c r="DM199" s="8"/>
      <c r="DN199" s="8"/>
      <c r="DO199" s="8"/>
      <c r="DP199" s="8"/>
      <c r="DQ199" s="8"/>
      <c r="DR199" s="8"/>
      <c r="DS199" s="8"/>
      <c r="DT199" s="8"/>
      <c r="DU199" s="8"/>
      <c r="DV199" s="8"/>
      <c r="DW199" s="8"/>
      <c r="DX199" s="8"/>
      <c r="DY199" s="8"/>
      <c r="DZ199" s="8"/>
      <c r="EA199" s="8"/>
      <c r="EB199" s="8"/>
      <c r="EC199" s="8"/>
      <c r="ED199" s="8"/>
      <c r="EE199" s="8"/>
      <c r="EF199" s="8"/>
      <c r="EG199" s="8"/>
      <c r="EH199" s="8"/>
      <c r="EI199" s="8"/>
      <c r="EJ199" s="8"/>
      <c r="EK199" s="8"/>
      <c r="EL199" s="8"/>
      <c r="EM199" s="8"/>
      <c r="EN199" s="8"/>
      <c r="EO199" s="8"/>
      <c r="EP199" s="8"/>
      <c r="EQ199" s="8"/>
      <c r="ER199" s="8"/>
      <c r="ES199" s="8"/>
      <c r="ET199" s="8"/>
      <c r="EU199" s="8"/>
      <c r="EV199" s="8"/>
      <c r="EW199" s="8"/>
      <c r="EX199" s="8"/>
      <c r="EY199" s="8"/>
      <c r="EZ199" s="8"/>
      <c r="FA199" s="8"/>
      <c r="FB199" s="8"/>
      <c r="FC199" s="8"/>
      <c r="FD199" s="8"/>
      <c r="FE199" s="8"/>
      <c r="FF199" s="8"/>
      <c r="FG199" s="8"/>
      <c r="FH199" s="8"/>
      <c r="FI199" s="8"/>
      <c r="FJ199" s="8"/>
      <c r="FK199" s="8"/>
      <c r="FL199" s="8"/>
      <c r="FM199" s="8"/>
      <c r="FN199" s="8"/>
      <c r="FO199" s="8"/>
      <c r="FP199" s="8"/>
      <c r="FQ199" s="8"/>
      <c r="FR199" s="8"/>
      <c r="FS199" s="8"/>
      <c r="FT199" s="8"/>
      <c r="FU199" s="8"/>
      <c r="FV199" s="8"/>
      <c r="FW199" s="8"/>
      <c r="FX199" s="8"/>
      <c r="FY199" s="8"/>
      <c r="FZ199" s="8"/>
      <c r="GA199" s="8"/>
      <c r="GB199" s="8"/>
      <c r="GC199" s="8"/>
      <c r="GD199" s="8"/>
      <c r="GE199" s="8"/>
      <c r="GF199" s="8"/>
      <c r="GG199" s="8"/>
      <c r="GH199" s="8"/>
      <c r="GI199" s="8"/>
      <c r="GJ199" s="8"/>
      <c r="GK199" s="8"/>
      <c r="GL199" s="8"/>
      <c r="GM199" s="8"/>
      <c r="GN199" s="8"/>
      <c r="GO199" s="8"/>
      <c r="GP199" s="8"/>
      <c r="GQ199" s="8"/>
      <c r="GR199" s="8"/>
      <c r="GS199" s="8"/>
      <c r="GT199" s="8"/>
      <c r="GU199" s="8"/>
      <c r="GV199" s="8"/>
      <c r="GW199" s="8"/>
      <c r="GX199" s="8"/>
      <c r="GY199" s="8"/>
      <c r="GZ199" s="8"/>
      <c r="HA199" s="8"/>
      <c r="HB199" s="8"/>
      <c r="HC199" s="8"/>
      <c r="HD199" s="8"/>
      <c r="HE199" s="8"/>
      <c r="HF199" s="8"/>
      <c r="HG199" s="8"/>
      <c r="HH199" s="8"/>
      <c r="HI199" s="8"/>
      <c r="HJ199" s="8"/>
      <c r="HK199" s="8"/>
      <c r="HL199" s="8"/>
      <c r="HM199" s="8"/>
      <c r="HN199" s="8"/>
      <c r="HO199" s="8"/>
      <c r="HP199" s="8"/>
      <c r="HQ199" s="8"/>
      <c r="HR199" s="8"/>
      <c r="HS199" s="8"/>
      <c r="HT199" s="8"/>
      <c r="HU199" s="8"/>
      <c r="HV199" s="8"/>
      <c r="HW199" s="8"/>
      <c r="HX199" s="8"/>
      <c r="HY199" s="8"/>
      <c r="HZ199" s="8"/>
      <c r="IA199" s="8"/>
      <c r="IB199" s="8"/>
      <c r="IC199" s="8"/>
      <c r="ID199" s="8"/>
      <c r="IE199" s="8"/>
      <c r="IF199" s="8"/>
      <c r="IG199" s="8"/>
      <c r="IH199" s="8"/>
      <c r="II199" s="8"/>
      <c r="IJ199" s="8"/>
      <c r="IK199" s="8"/>
      <c r="IL199" s="8"/>
      <c r="IM199" s="8"/>
    </row>
    <row r="200" spans="1:247" x14ac:dyDescent="0.25">
      <c r="A200" s="4">
        <v>7541</v>
      </c>
      <c r="B200" s="9" t="s">
        <v>208</v>
      </c>
      <c r="C200" s="10" t="s">
        <v>11</v>
      </c>
      <c r="D200" s="1721" t="s">
        <v>3060</v>
      </c>
      <c r="E200" s="1728"/>
      <c r="F200" s="1723">
        <f t="shared" si="58"/>
        <v>1.0209999999999999</v>
      </c>
      <c r="G200" s="1729">
        <f>+$G$3</f>
        <v>1.0269999999999999</v>
      </c>
      <c r="H200" s="1728"/>
      <c r="I200" s="1730"/>
      <c r="J200" s="1730"/>
      <c r="K200" s="1730"/>
      <c r="L200" s="1730"/>
      <c r="M200" s="1730"/>
      <c r="N200" s="1729"/>
      <c r="O200" s="1731"/>
      <c r="P200" s="1728"/>
      <c r="Q200" s="1729"/>
      <c r="R200" s="1732">
        <f t="shared" si="59"/>
        <v>1.0485669999999998</v>
      </c>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c r="CA200" s="8"/>
      <c r="CB200" s="8"/>
      <c r="CC200" s="8"/>
      <c r="CD200" s="8"/>
      <c r="CE200" s="8"/>
      <c r="CF200" s="8"/>
      <c r="CG200" s="8"/>
      <c r="CH200" s="8"/>
      <c r="CI200" s="8"/>
      <c r="CJ200" s="8"/>
      <c r="CK200" s="8"/>
      <c r="CL200" s="8"/>
      <c r="CM200" s="8"/>
      <c r="CN200" s="8"/>
      <c r="CO200" s="8"/>
      <c r="CP200" s="8"/>
      <c r="CQ200" s="8"/>
      <c r="CR200" s="8"/>
      <c r="CS200" s="8"/>
      <c r="CT200" s="8"/>
      <c r="CU200" s="8"/>
      <c r="CV200" s="8"/>
      <c r="CW200" s="8"/>
      <c r="CX200" s="8"/>
      <c r="CY200" s="8"/>
      <c r="CZ200" s="8"/>
      <c r="DA200" s="8"/>
      <c r="DB200" s="8"/>
      <c r="DC200" s="8"/>
      <c r="DD200" s="8"/>
      <c r="DE200" s="8"/>
      <c r="DF200" s="8"/>
      <c r="DG200" s="8"/>
      <c r="DH200" s="8"/>
      <c r="DI200" s="8"/>
      <c r="DJ200" s="8"/>
      <c r="DK200" s="8"/>
      <c r="DL200" s="8"/>
      <c r="DM200" s="8"/>
      <c r="DN200" s="8"/>
      <c r="DO200" s="8"/>
      <c r="DP200" s="8"/>
      <c r="DQ200" s="8"/>
      <c r="DR200" s="8"/>
      <c r="DS200" s="8"/>
      <c r="DT200" s="8"/>
      <c r="DU200" s="8"/>
      <c r="DV200" s="8"/>
      <c r="DW200" s="8"/>
      <c r="DX200" s="8"/>
      <c r="DY200" s="8"/>
      <c r="DZ200" s="8"/>
      <c r="EA200" s="8"/>
      <c r="EB200" s="8"/>
      <c r="EC200" s="8"/>
      <c r="ED200" s="8"/>
      <c r="EE200" s="8"/>
      <c r="EF200" s="8"/>
      <c r="EG200" s="8"/>
      <c r="EH200" s="8"/>
      <c r="EI200" s="8"/>
      <c r="EJ200" s="8"/>
      <c r="EK200" s="8"/>
      <c r="EL200" s="8"/>
      <c r="EM200" s="8"/>
      <c r="EN200" s="8"/>
      <c r="EO200" s="8"/>
      <c r="EP200" s="8"/>
      <c r="EQ200" s="8"/>
      <c r="ER200" s="8"/>
      <c r="ES200" s="8"/>
      <c r="ET200" s="8"/>
      <c r="EU200" s="8"/>
      <c r="EV200" s="8"/>
      <c r="EW200" s="8"/>
      <c r="EX200" s="8"/>
      <c r="EY200" s="8"/>
      <c r="EZ200" s="8"/>
      <c r="FA200" s="8"/>
      <c r="FB200" s="8"/>
      <c r="FC200" s="8"/>
      <c r="FD200" s="8"/>
      <c r="FE200" s="8"/>
      <c r="FF200" s="8"/>
      <c r="FG200" s="8"/>
      <c r="FH200" s="8"/>
      <c r="FI200" s="8"/>
      <c r="FJ200" s="8"/>
      <c r="FK200" s="8"/>
      <c r="FL200" s="8"/>
      <c r="FM200" s="8"/>
      <c r="FN200" s="8"/>
      <c r="FO200" s="8"/>
      <c r="FP200" s="8"/>
      <c r="FQ200" s="8"/>
      <c r="FR200" s="8"/>
      <c r="FS200" s="8"/>
      <c r="FT200" s="8"/>
      <c r="FU200" s="8"/>
      <c r="FV200" s="8"/>
      <c r="FW200" s="8"/>
      <c r="FX200" s="8"/>
      <c r="FY200" s="8"/>
      <c r="FZ200" s="8"/>
      <c r="GA200" s="8"/>
      <c r="GB200" s="8"/>
      <c r="GC200" s="8"/>
      <c r="GD200" s="8"/>
      <c r="GE200" s="8"/>
      <c r="GF200" s="8"/>
      <c r="GG200" s="8"/>
      <c r="GH200" s="8"/>
      <c r="GI200" s="8"/>
      <c r="GJ200" s="8"/>
      <c r="GK200" s="8"/>
      <c r="GL200" s="8"/>
      <c r="GM200" s="8"/>
      <c r="GN200" s="8"/>
      <c r="GO200" s="8"/>
      <c r="GP200" s="8"/>
      <c r="GQ200" s="8"/>
      <c r="GR200" s="8"/>
      <c r="GS200" s="8"/>
      <c r="GT200" s="8"/>
      <c r="GU200" s="8"/>
      <c r="GV200" s="8"/>
      <c r="GW200" s="8"/>
      <c r="GX200" s="8"/>
      <c r="GY200" s="8"/>
      <c r="GZ200" s="8"/>
      <c r="HA200" s="8"/>
      <c r="HB200" s="8"/>
      <c r="HC200" s="8"/>
      <c r="HD200" s="8"/>
      <c r="HE200" s="8"/>
      <c r="HF200" s="8"/>
      <c r="HG200" s="8"/>
      <c r="HH200" s="8"/>
      <c r="HI200" s="8"/>
      <c r="HJ200" s="8"/>
      <c r="HK200" s="8"/>
      <c r="HL200" s="8"/>
      <c r="HM200" s="8"/>
      <c r="HN200" s="8"/>
      <c r="HO200" s="8"/>
      <c r="HP200" s="8"/>
      <c r="HQ200" s="8"/>
      <c r="HR200" s="8"/>
      <c r="HS200" s="8"/>
      <c r="HT200" s="8"/>
      <c r="HU200" s="8"/>
      <c r="HV200" s="8"/>
      <c r="HW200" s="8"/>
      <c r="HX200" s="8"/>
      <c r="HY200" s="8"/>
      <c r="HZ200" s="8"/>
      <c r="IA200" s="8"/>
      <c r="IB200" s="8"/>
      <c r="IC200" s="8"/>
      <c r="ID200" s="8"/>
      <c r="IE200" s="8"/>
      <c r="IF200" s="8"/>
      <c r="IG200" s="8"/>
      <c r="IH200" s="8"/>
      <c r="II200" s="8"/>
      <c r="IJ200" s="8"/>
      <c r="IK200" s="8"/>
      <c r="IL200" s="8"/>
      <c r="IM200" s="8"/>
    </row>
    <row r="201" spans="1:247" x14ac:dyDescent="0.25">
      <c r="A201" s="4">
        <v>7542</v>
      </c>
      <c r="B201" s="9" t="s">
        <v>209</v>
      </c>
      <c r="C201" s="10" t="s">
        <v>11</v>
      </c>
      <c r="D201" s="1721" t="s">
        <v>3060</v>
      </c>
      <c r="E201" s="1728"/>
      <c r="F201" s="1723">
        <f t="shared" si="58"/>
        <v>1.0209999999999999</v>
      </c>
      <c r="G201" s="1729">
        <f>+$G$3</f>
        <v>1.0269999999999999</v>
      </c>
      <c r="H201" s="1728"/>
      <c r="I201" s="1730"/>
      <c r="J201" s="1730"/>
      <c r="K201" s="1730"/>
      <c r="L201" s="1730"/>
      <c r="M201" s="1730"/>
      <c r="N201" s="1729"/>
      <c r="O201" s="1731"/>
      <c r="P201" s="1728"/>
      <c r="Q201" s="1729"/>
      <c r="R201" s="1732">
        <f>PRODUCT(E201:Q201)</f>
        <v>1.0485669999999998</v>
      </c>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c r="CA201" s="8"/>
      <c r="CB201" s="8"/>
      <c r="CC201" s="8"/>
      <c r="CD201" s="8"/>
      <c r="CE201" s="8"/>
      <c r="CF201" s="8"/>
      <c r="CG201" s="8"/>
      <c r="CH201" s="8"/>
      <c r="CI201" s="8"/>
      <c r="CJ201" s="8"/>
      <c r="CK201" s="8"/>
      <c r="CL201" s="8"/>
      <c r="CM201" s="8"/>
      <c r="CN201" s="8"/>
      <c r="CO201" s="8"/>
      <c r="CP201" s="8"/>
      <c r="CQ201" s="8"/>
      <c r="CR201" s="8"/>
      <c r="CS201" s="8"/>
      <c r="CT201" s="8"/>
      <c r="CU201" s="8"/>
      <c r="CV201" s="8"/>
      <c r="CW201" s="8"/>
      <c r="CX201" s="8"/>
      <c r="CY201" s="8"/>
      <c r="CZ201" s="8"/>
      <c r="DA201" s="8"/>
      <c r="DB201" s="8"/>
      <c r="DC201" s="8"/>
      <c r="DD201" s="8"/>
      <c r="DE201" s="8"/>
      <c r="DF201" s="8"/>
      <c r="DG201" s="8"/>
      <c r="DH201" s="8"/>
      <c r="DI201" s="8"/>
      <c r="DJ201" s="8"/>
      <c r="DK201" s="8"/>
      <c r="DL201" s="8"/>
      <c r="DM201" s="8"/>
      <c r="DN201" s="8"/>
      <c r="DO201" s="8"/>
      <c r="DP201" s="8"/>
      <c r="DQ201" s="8"/>
      <c r="DR201" s="8"/>
      <c r="DS201" s="8"/>
      <c r="DT201" s="8"/>
      <c r="DU201" s="8"/>
      <c r="DV201" s="8"/>
      <c r="DW201" s="8"/>
      <c r="DX201" s="8"/>
      <c r="DY201" s="8"/>
      <c r="DZ201" s="8"/>
      <c r="EA201" s="8"/>
      <c r="EB201" s="8"/>
      <c r="EC201" s="8"/>
      <c r="ED201" s="8"/>
      <c r="EE201" s="8"/>
      <c r="EF201" s="8"/>
      <c r="EG201" s="8"/>
      <c r="EH201" s="8"/>
      <c r="EI201" s="8"/>
      <c r="EJ201" s="8"/>
      <c r="EK201" s="8"/>
      <c r="EL201" s="8"/>
      <c r="EM201" s="8"/>
      <c r="EN201" s="8"/>
      <c r="EO201" s="8"/>
      <c r="EP201" s="8"/>
      <c r="EQ201" s="8"/>
      <c r="ER201" s="8"/>
      <c r="ES201" s="8"/>
      <c r="ET201" s="8"/>
      <c r="EU201" s="8"/>
      <c r="EV201" s="8"/>
      <c r="EW201" s="8"/>
      <c r="EX201" s="8"/>
      <c r="EY201" s="8"/>
      <c r="EZ201" s="8"/>
      <c r="FA201" s="8"/>
      <c r="FB201" s="8"/>
      <c r="FC201" s="8"/>
      <c r="FD201" s="8"/>
      <c r="FE201" s="8"/>
      <c r="FF201" s="8"/>
      <c r="FG201" s="8"/>
      <c r="FH201" s="8"/>
      <c r="FI201" s="8"/>
      <c r="FJ201" s="8"/>
      <c r="FK201" s="8"/>
      <c r="FL201" s="8"/>
      <c r="FM201" s="8"/>
      <c r="FN201" s="8"/>
      <c r="FO201" s="8"/>
      <c r="FP201" s="8"/>
      <c r="FQ201" s="8"/>
      <c r="FR201" s="8"/>
      <c r="FS201" s="8"/>
      <c r="FT201" s="8"/>
      <c r="FU201" s="8"/>
      <c r="FV201" s="8"/>
      <c r="FW201" s="8"/>
      <c r="FX201" s="8"/>
      <c r="FY201" s="8"/>
      <c r="FZ201" s="8"/>
      <c r="GA201" s="8"/>
      <c r="GB201" s="8"/>
      <c r="GC201" s="8"/>
      <c r="GD201" s="8"/>
      <c r="GE201" s="8"/>
      <c r="GF201" s="8"/>
      <c r="GG201" s="8"/>
      <c r="GH201" s="8"/>
      <c r="GI201" s="8"/>
      <c r="GJ201" s="8"/>
      <c r="GK201" s="8"/>
      <c r="GL201" s="8"/>
      <c r="GM201" s="8"/>
      <c r="GN201" s="8"/>
      <c r="GO201" s="8"/>
      <c r="GP201" s="8"/>
      <c r="GQ201" s="8"/>
      <c r="GR201" s="8"/>
      <c r="GS201" s="8"/>
      <c r="GT201" s="8"/>
      <c r="GU201" s="8"/>
      <c r="GV201" s="8"/>
      <c r="GW201" s="8"/>
      <c r="GX201" s="8"/>
      <c r="GY201" s="8"/>
      <c r="GZ201" s="8"/>
      <c r="HA201" s="8"/>
      <c r="HB201" s="8"/>
      <c r="HC201" s="8"/>
      <c r="HD201" s="8"/>
      <c r="HE201" s="8"/>
      <c r="HF201" s="8"/>
      <c r="HG201" s="8"/>
      <c r="HH201" s="8"/>
      <c r="HI201" s="8"/>
      <c r="HJ201" s="8"/>
      <c r="HK201" s="8"/>
      <c r="HL201" s="8"/>
      <c r="HM201" s="8"/>
      <c r="HN201" s="8"/>
      <c r="HO201" s="8"/>
      <c r="HP201" s="8"/>
      <c r="HQ201" s="8"/>
      <c r="HR201" s="8"/>
      <c r="HS201" s="8"/>
      <c r="HT201" s="8"/>
      <c r="HU201" s="8"/>
      <c r="HV201" s="8"/>
      <c r="HW201" s="8"/>
      <c r="HX201" s="8"/>
      <c r="HY201" s="8"/>
      <c r="HZ201" s="8"/>
      <c r="IA201" s="8"/>
      <c r="IB201" s="8"/>
      <c r="IC201" s="8"/>
      <c r="ID201" s="8"/>
      <c r="IE201" s="8"/>
      <c r="IF201" s="8"/>
      <c r="IG201" s="8"/>
      <c r="IH201" s="8"/>
      <c r="II201" s="8"/>
      <c r="IJ201" s="8"/>
      <c r="IK201" s="8"/>
      <c r="IL201" s="8"/>
      <c r="IM201" s="8"/>
    </row>
    <row r="202" spans="1:247" x14ac:dyDescent="0.25">
      <c r="A202" s="4">
        <v>7601</v>
      </c>
      <c r="B202" s="9" t="s">
        <v>210</v>
      </c>
      <c r="C202" s="10" t="s">
        <v>9</v>
      </c>
      <c r="D202" s="1721" t="s">
        <v>3062</v>
      </c>
      <c r="E202" s="1728">
        <f>+$E$3</f>
        <v>1.0740000000000001</v>
      </c>
      <c r="F202" s="1723">
        <f t="shared" si="58"/>
        <v>1.0209999999999999</v>
      </c>
      <c r="G202" s="1729">
        <f>+$G$3</f>
        <v>1.0269999999999999</v>
      </c>
      <c r="H202" s="1728">
        <f>+$H$3</f>
        <v>1.0029999999999999</v>
      </c>
      <c r="I202" s="1730">
        <f>+$I$3</f>
        <v>1.0289999999999999</v>
      </c>
      <c r="J202" s="1730">
        <f>+$J$3</f>
        <v>1.0049999999999999</v>
      </c>
      <c r="K202" s="1730">
        <f>+$K$3</f>
        <v>1.026</v>
      </c>
      <c r="L202" s="1730">
        <f>+$L$3</f>
        <v>1.0129999999999999</v>
      </c>
      <c r="M202" s="1730">
        <f>+$M$3</f>
        <v>1.0029999999999999</v>
      </c>
      <c r="N202" s="1729">
        <f>+$N$3</f>
        <v>1.0029999999999999</v>
      </c>
      <c r="O202" s="1731">
        <f>+$O$3</f>
        <v>1.0209999999999999</v>
      </c>
      <c r="P202" s="1728">
        <f t="shared" ref="P202:P221" si="60">+$P$3</f>
        <v>1.032</v>
      </c>
      <c r="Q202" s="1729">
        <f t="shared" ref="Q202:Q221" si="61">+$Q$3</f>
        <v>1.0349999999999999</v>
      </c>
      <c r="R202" s="1732">
        <f t="shared" si="59"/>
        <v>1.3319480854780448</v>
      </c>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c r="CA202" s="8"/>
      <c r="CB202" s="8"/>
      <c r="CC202" s="8"/>
      <c r="CD202" s="8"/>
      <c r="CE202" s="8"/>
      <c r="CF202" s="8"/>
      <c r="CG202" s="8"/>
      <c r="CH202" s="8"/>
      <c r="CI202" s="8"/>
      <c r="CJ202" s="8"/>
      <c r="CK202" s="8"/>
      <c r="CL202" s="8"/>
      <c r="CM202" s="8"/>
      <c r="CN202" s="8"/>
      <c r="CO202" s="8"/>
      <c r="CP202" s="8"/>
      <c r="CQ202" s="8"/>
      <c r="CR202" s="8"/>
      <c r="CS202" s="8"/>
      <c r="CT202" s="8"/>
      <c r="CU202" s="8"/>
      <c r="CV202" s="8"/>
      <c r="CW202" s="8"/>
      <c r="CX202" s="8"/>
      <c r="CY202" s="8"/>
      <c r="CZ202" s="8"/>
      <c r="DA202" s="8"/>
      <c r="DB202" s="8"/>
      <c r="DC202" s="8"/>
      <c r="DD202" s="8"/>
      <c r="DE202" s="8"/>
      <c r="DF202" s="8"/>
      <c r="DG202" s="8"/>
      <c r="DH202" s="8"/>
      <c r="DI202" s="8"/>
      <c r="DJ202" s="8"/>
      <c r="DK202" s="8"/>
      <c r="DL202" s="8"/>
      <c r="DM202" s="8"/>
      <c r="DN202" s="8"/>
      <c r="DO202" s="8"/>
      <c r="DP202" s="8"/>
      <c r="DQ202" s="8"/>
      <c r="DR202" s="8"/>
      <c r="DS202" s="8"/>
      <c r="DT202" s="8"/>
      <c r="DU202" s="8"/>
      <c r="DV202" s="8"/>
      <c r="DW202" s="8"/>
      <c r="DX202" s="8"/>
      <c r="DY202" s="8"/>
      <c r="DZ202" s="8"/>
      <c r="EA202" s="8"/>
      <c r="EB202" s="8"/>
      <c r="EC202" s="8"/>
      <c r="ED202" s="8"/>
      <c r="EE202" s="8"/>
      <c r="EF202" s="8"/>
      <c r="EG202" s="8"/>
      <c r="EH202" s="8"/>
      <c r="EI202" s="8"/>
      <c r="EJ202" s="8"/>
      <c r="EK202" s="8"/>
      <c r="EL202" s="8"/>
      <c r="EM202" s="8"/>
      <c r="EN202" s="8"/>
      <c r="EO202" s="8"/>
      <c r="EP202" s="8"/>
      <c r="EQ202" s="8"/>
      <c r="ER202" s="8"/>
      <c r="ES202" s="8"/>
      <c r="ET202" s="8"/>
      <c r="EU202" s="8"/>
      <c r="EV202" s="8"/>
      <c r="EW202" s="8"/>
      <c r="EX202" s="8"/>
      <c r="EY202" s="8"/>
      <c r="EZ202" s="8"/>
      <c r="FA202" s="8"/>
      <c r="FB202" s="8"/>
      <c r="FC202" s="8"/>
      <c r="FD202" s="8"/>
      <c r="FE202" s="8"/>
      <c r="FF202" s="8"/>
      <c r="FG202" s="8"/>
      <c r="FH202" s="8"/>
      <c r="FI202" s="8"/>
      <c r="FJ202" s="8"/>
      <c r="FK202" s="8"/>
      <c r="FL202" s="8"/>
      <c r="FM202" s="8"/>
      <c r="FN202" s="8"/>
      <c r="FO202" s="8"/>
      <c r="FP202" s="8"/>
      <c r="FQ202" s="8"/>
      <c r="FR202" s="8"/>
      <c r="FS202" s="8"/>
      <c r="FT202" s="8"/>
      <c r="FU202" s="8"/>
      <c r="FV202" s="8"/>
      <c r="FW202" s="8"/>
      <c r="FX202" s="8"/>
      <c r="FY202" s="8"/>
      <c r="FZ202" s="8"/>
      <c r="GA202" s="8"/>
      <c r="GB202" s="8"/>
      <c r="GC202" s="8"/>
      <c r="GD202" s="8"/>
      <c r="GE202" s="8"/>
      <c r="GF202" s="8"/>
      <c r="GG202" s="8"/>
      <c r="GH202" s="8"/>
      <c r="GI202" s="8"/>
      <c r="GJ202" s="8"/>
      <c r="GK202" s="8"/>
      <c r="GL202" s="8"/>
      <c r="GM202" s="8"/>
      <c r="GN202" s="8"/>
      <c r="GO202" s="8"/>
      <c r="GP202" s="8"/>
      <c r="GQ202" s="8"/>
      <c r="GR202" s="8"/>
      <c r="GS202" s="8"/>
      <c r="GT202" s="8"/>
      <c r="GU202" s="8"/>
      <c r="GV202" s="8"/>
      <c r="GW202" s="8"/>
      <c r="GX202" s="8"/>
      <c r="GY202" s="8"/>
      <c r="GZ202" s="8"/>
      <c r="HA202" s="8"/>
      <c r="HB202" s="8"/>
      <c r="HC202" s="8"/>
      <c r="HD202" s="8"/>
      <c r="HE202" s="8"/>
      <c r="HF202" s="8"/>
      <c r="HG202" s="8"/>
      <c r="HH202" s="8"/>
      <c r="HI202" s="8"/>
      <c r="HJ202" s="8"/>
      <c r="HK202" s="8"/>
      <c r="HL202" s="8"/>
      <c r="HM202" s="8"/>
      <c r="HN202" s="8"/>
      <c r="HO202" s="8"/>
      <c r="HP202" s="8"/>
      <c r="HQ202" s="8"/>
      <c r="HR202" s="8"/>
      <c r="HS202" s="8"/>
      <c r="HT202" s="8"/>
      <c r="HU202" s="8"/>
      <c r="HV202" s="8"/>
      <c r="HW202" s="8"/>
      <c r="HX202" s="8"/>
      <c r="HY202" s="8"/>
      <c r="HZ202" s="8"/>
      <c r="IA202" s="8"/>
      <c r="IB202" s="8"/>
      <c r="IC202" s="8"/>
      <c r="ID202" s="8"/>
      <c r="IE202" s="8"/>
      <c r="IF202" s="8"/>
      <c r="IG202" s="8"/>
      <c r="IH202" s="8"/>
      <c r="II202" s="8"/>
      <c r="IJ202" s="8"/>
      <c r="IK202" s="8"/>
      <c r="IL202" s="8"/>
      <c r="IM202" s="8"/>
    </row>
    <row r="203" spans="1:247" x14ac:dyDescent="0.25">
      <c r="A203" s="4">
        <v>7604</v>
      </c>
      <c r="B203" s="9" t="s">
        <v>211</v>
      </c>
      <c r="C203" s="10" t="s">
        <v>212</v>
      </c>
      <c r="D203" s="1721" t="s">
        <v>3060</v>
      </c>
      <c r="E203" s="1728"/>
      <c r="F203" s="1723">
        <f t="shared" si="58"/>
        <v>1.0209999999999999</v>
      </c>
      <c r="G203" s="1729">
        <f>+$G$3</f>
        <v>1.0269999999999999</v>
      </c>
      <c r="H203" s="1728"/>
      <c r="I203" s="1730"/>
      <c r="J203" s="1730"/>
      <c r="K203" s="1730"/>
      <c r="L203" s="1730"/>
      <c r="M203" s="1730"/>
      <c r="N203" s="1729"/>
      <c r="O203" s="1731"/>
      <c r="P203" s="1728">
        <f t="shared" si="60"/>
        <v>1.032</v>
      </c>
      <c r="Q203" s="1729">
        <f t="shared" si="61"/>
        <v>1.0349999999999999</v>
      </c>
      <c r="R203" s="1732">
        <f t="shared" si="59"/>
        <v>1.1199953840399997</v>
      </c>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c r="CA203" s="8"/>
      <c r="CB203" s="8"/>
      <c r="CC203" s="8"/>
      <c r="CD203" s="8"/>
      <c r="CE203" s="8"/>
      <c r="CF203" s="8"/>
      <c r="CG203" s="8"/>
      <c r="CH203" s="8"/>
      <c r="CI203" s="8"/>
      <c r="CJ203" s="8"/>
      <c r="CK203" s="8"/>
      <c r="CL203" s="8"/>
      <c r="CM203" s="8"/>
      <c r="CN203" s="8"/>
      <c r="CO203" s="8"/>
      <c r="CP203" s="8"/>
      <c r="CQ203" s="8"/>
      <c r="CR203" s="8"/>
      <c r="CS203" s="8"/>
      <c r="CT203" s="8"/>
      <c r="CU203" s="8"/>
      <c r="CV203" s="8"/>
      <c r="CW203" s="8"/>
      <c r="CX203" s="8"/>
      <c r="CY203" s="8"/>
      <c r="CZ203" s="8"/>
      <c r="DA203" s="8"/>
      <c r="DB203" s="8"/>
      <c r="DC203" s="8"/>
      <c r="DD203" s="8"/>
      <c r="DE203" s="8"/>
      <c r="DF203" s="8"/>
      <c r="DG203" s="8"/>
      <c r="DH203" s="8"/>
      <c r="DI203" s="8"/>
      <c r="DJ203" s="8"/>
      <c r="DK203" s="8"/>
      <c r="DL203" s="8"/>
      <c r="DM203" s="8"/>
      <c r="DN203" s="8"/>
      <c r="DO203" s="8"/>
      <c r="DP203" s="8"/>
      <c r="DQ203" s="8"/>
      <c r="DR203" s="8"/>
      <c r="DS203" s="8"/>
      <c r="DT203" s="8"/>
      <c r="DU203" s="8"/>
      <c r="DV203" s="8"/>
      <c r="DW203" s="8"/>
      <c r="DX203" s="8"/>
      <c r="DY203" s="8"/>
      <c r="DZ203" s="8"/>
      <c r="EA203" s="8"/>
      <c r="EB203" s="8"/>
      <c r="EC203" s="8"/>
      <c r="ED203" s="8"/>
      <c r="EE203" s="8"/>
      <c r="EF203" s="8"/>
      <c r="EG203" s="8"/>
      <c r="EH203" s="8"/>
      <c r="EI203" s="8"/>
      <c r="EJ203" s="8"/>
      <c r="EK203" s="8"/>
      <c r="EL203" s="8"/>
      <c r="EM203" s="8"/>
      <c r="EN203" s="8"/>
      <c r="EO203" s="8"/>
      <c r="EP203" s="8"/>
      <c r="EQ203" s="8"/>
      <c r="ER203" s="8"/>
      <c r="ES203" s="8"/>
      <c r="ET203" s="8"/>
      <c r="EU203" s="8"/>
      <c r="EV203" s="8"/>
      <c r="EW203" s="8"/>
      <c r="EX203" s="8"/>
      <c r="EY203" s="8"/>
      <c r="EZ203" s="8"/>
      <c r="FA203" s="8"/>
      <c r="FB203" s="8"/>
      <c r="FC203" s="8"/>
      <c r="FD203" s="8"/>
      <c r="FE203" s="8"/>
      <c r="FF203" s="8"/>
      <c r="FG203" s="8"/>
      <c r="FH203" s="8"/>
      <c r="FI203" s="8"/>
      <c r="FJ203" s="8"/>
      <c r="FK203" s="8"/>
      <c r="FL203" s="8"/>
      <c r="FM203" s="8"/>
      <c r="FN203" s="8"/>
      <c r="FO203" s="8"/>
      <c r="FP203" s="8"/>
      <c r="FQ203" s="8"/>
      <c r="FR203" s="8"/>
      <c r="FS203" s="8"/>
      <c r="FT203" s="8"/>
      <c r="FU203" s="8"/>
      <c r="FV203" s="8"/>
      <c r="FW203" s="8"/>
      <c r="FX203" s="8"/>
      <c r="FY203" s="8"/>
      <c r="FZ203" s="8"/>
      <c r="GA203" s="8"/>
      <c r="GB203" s="8"/>
      <c r="GC203" s="8"/>
      <c r="GD203" s="8"/>
      <c r="GE203" s="8"/>
      <c r="GF203" s="8"/>
      <c r="GG203" s="8"/>
      <c r="GH203" s="8"/>
      <c r="GI203" s="8"/>
      <c r="GJ203" s="8"/>
      <c r="GK203" s="8"/>
      <c r="GL203" s="8"/>
      <c r="GM203" s="8"/>
      <c r="GN203" s="8"/>
      <c r="GO203" s="8"/>
      <c r="GP203" s="8"/>
      <c r="GQ203" s="8"/>
      <c r="GR203" s="8"/>
      <c r="GS203" s="8"/>
      <c r="GT203" s="8"/>
      <c r="GU203" s="8"/>
      <c r="GV203" s="8"/>
      <c r="GW203" s="8"/>
      <c r="GX203" s="8"/>
      <c r="GY203" s="8"/>
      <c r="GZ203" s="8"/>
      <c r="HA203" s="8"/>
      <c r="HB203" s="8"/>
      <c r="HC203" s="8"/>
      <c r="HD203" s="8"/>
      <c r="HE203" s="8"/>
      <c r="HF203" s="8"/>
      <c r="HG203" s="8"/>
      <c r="HH203" s="8"/>
      <c r="HI203" s="8"/>
      <c r="HJ203" s="8"/>
      <c r="HK203" s="8"/>
      <c r="HL203" s="8"/>
      <c r="HM203" s="8"/>
      <c r="HN203" s="8"/>
      <c r="HO203" s="8"/>
      <c r="HP203" s="8"/>
      <c r="HQ203" s="8"/>
      <c r="HR203" s="8"/>
      <c r="HS203" s="8"/>
      <c r="HT203" s="8"/>
      <c r="HU203" s="8"/>
      <c r="HV203" s="8"/>
      <c r="HW203" s="8"/>
      <c r="HX203" s="8"/>
      <c r="HY203" s="8"/>
      <c r="HZ203" s="8"/>
      <c r="IA203" s="8"/>
      <c r="IB203" s="8"/>
      <c r="IC203" s="8"/>
      <c r="ID203" s="8"/>
      <c r="IE203" s="8"/>
      <c r="IF203" s="8"/>
      <c r="IG203" s="8"/>
      <c r="IH203" s="8"/>
      <c r="II203" s="8"/>
      <c r="IJ203" s="8"/>
      <c r="IK203" s="8"/>
      <c r="IL203" s="8"/>
      <c r="IM203" s="8"/>
    </row>
    <row r="204" spans="1:247" x14ac:dyDescent="0.25">
      <c r="A204" s="4">
        <v>8111</v>
      </c>
      <c r="B204" s="9" t="s">
        <v>214</v>
      </c>
      <c r="C204" s="10" t="s">
        <v>215</v>
      </c>
      <c r="D204" s="1721" t="s">
        <v>3060</v>
      </c>
      <c r="E204" s="1728"/>
      <c r="F204" s="1723">
        <f t="shared" si="58"/>
        <v>1.0209999999999999</v>
      </c>
      <c r="G204" s="1729"/>
      <c r="H204" s="1728"/>
      <c r="I204" s="1730"/>
      <c r="J204" s="1730"/>
      <c r="K204" s="1730"/>
      <c r="L204" s="1730"/>
      <c r="M204" s="1730"/>
      <c r="N204" s="1729"/>
      <c r="O204" s="1731"/>
      <c r="P204" s="1728">
        <f t="shared" si="60"/>
        <v>1.032</v>
      </c>
      <c r="Q204" s="1729">
        <f t="shared" si="61"/>
        <v>1.0349999999999999</v>
      </c>
      <c r="R204" s="1732">
        <f t="shared" si="59"/>
        <v>1.0905505199999999</v>
      </c>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c r="CA204" s="8"/>
      <c r="CB204" s="8"/>
      <c r="CC204" s="8"/>
      <c r="CD204" s="8"/>
      <c r="CE204" s="8"/>
      <c r="CF204" s="8"/>
      <c r="CG204" s="8"/>
      <c r="CH204" s="8"/>
      <c r="CI204" s="8"/>
      <c r="CJ204" s="8"/>
      <c r="CK204" s="8"/>
      <c r="CL204" s="8"/>
      <c r="CM204" s="8"/>
      <c r="CN204" s="8"/>
      <c r="CO204" s="8"/>
      <c r="CP204" s="8"/>
      <c r="CQ204" s="8"/>
      <c r="CR204" s="8"/>
      <c r="CS204" s="8"/>
      <c r="CT204" s="8"/>
      <c r="CU204" s="8"/>
      <c r="CV204" s="8"/>
      <c r="CW204" s="8"/>
      <c r="CX204" s="8"/>
      <c r="CY204" s="8"/>
      <c r="CZ204" s="8"/>
      <c r="DA204" s="8"/>
      <c r="DB204" s="8"/>
      <c r="DC204" s="8"/>
      <c r="DD204" s="8"/>
      <c r="DE204" s="8"/>
      <c r="DF204" s="8"/>
      <c r="DG204" s="8"/>
      <c r="DH204" s="8"/>
      <c r="DI204" s="8"/>
      <c r="DJ204" s="8"/>
      <c r="DK204" s="8"/>
      <c r="DL204" s="8"/>
      <c r="DM204" s="8"/>
      <c r="DN204" s="8"/>
      <c r="DO204" s="8"/>
      <c r="DP204" s="8"/>
      <c r="DQ204" s="8"/>
      <c r="DR204" s="8"/>
      <c r="DS204" s="8"/>
      <c r="DT204" s="8"/>
      <c r="DU204" s="8"/>
      <c r="DV204" s="8"/>
      <c r="DW204" s="8"/>
      <c r="DX204" s="8"/>
      <c r="DY204" s="8"/>
      <c r="DZ204" s="8"/>
      <c r="EA204" s="8"/>
      <c r="EB204" s="8"/>
      <c r="EC204" s="8"/>
      <c r="ED204" s="8"/>
      <c r="EE204" s="8"/>
      <c r="EF204" s="8"/>
      <c r="EG204" s="8"/>
      <c r="EH204" s="8"/>
      <c r="EI204" s="8"/>
      <c r="EJ204" s="8"/>
      <c r="EK204" s="8"/>
      <c r="EL204" s="8"/>
      <c r="EM204" s="8"/>
      <c r="EN204" s="8"/>
      <c r="EO204" s="8"/>
      <c r="EP204" s="8"/>
      <c r="EQ204" s="8"/>
      <c r="ER204" s="8"/>
      <c r="ES204" s="8"/>
      <c r="ET204" s="8"/>
      <c r="EU204" s="8"/>
      <c r="EV204" s="8"/>
      <c r="EW204" s="8"/>
      <c r="EX204" s="8"/>
      <c r="EY204" s="8"/>
      <c r="EZ204" s="8"/>
      <c r="FA204" s="8"/>
      <c r="FB204" s="8"/>
      <c r="FC204" s="8"/>
      <c r="FD204" s="8"/>
      <c r="FE204" s="8"/>
      <c r="FF204" s="8"/>
      <c r="FG204" s="8"/>
      <c r="FH204" s="8"/>
      <c r="FI204" s="8"/>
      <c r="FJ204" s="8"/>
      <c r="FK204" s="8"/>
      <c r="FL204" s="8"/>
      <c r="FM204" s="8"/>
      <c r="FN204" s="8"/>
      <c r="FO204" s="8"/>
      <c r="FP204" s="8"/>
      <c r="FQ204" s="8"/>
      <c r="FR204" s="8"/>
      <c r="FS204" s="8"/>
      <c r="FT204" s="8"/>
      <c r="FU204" s="8"/>
      <c r="FV204" s="8"/>
      <c r="FW204" s="8"/>
      <c r="FX204" s="8"/>
      <c r="FY204" s="8"/>
      <c r="FZ204" s="8"/>
      <c r="GA204" s="8"/>
      <c r="GB204" s="8"/>
      <c r="GC204" s="8"/>
      <c r="GD204" s="8"/>
      <c r="GE204" s="8"/>
      <c r="GF204" s="8"/>
      <c r="GG204" s="8"/>
      <c r="GH204" s="8"/>
      <c r="GI204" s="8"/>
      <c r="GJ204" s="8"/>
      <c r="GK204" s="8"/>
      <c r="GL204" s="8"/>
      <c r="GM204" s="8"/>
      <c r="GN204" s="8"/>
      <c r="GO204" s="8"/>
      <c r="GP204" s="8"/>
      <c r="GQ204" s="8"/>
      <c r="GR204" s="8"/>
      <c r="GS204" s="8"/>
      <c r="GT204" s="8"/>
      <c r="GU204" s="8"/>
      <c r="GV204" s="8"/>
      <c r="GW204" s="8"/>
      <c r="GX204" s="8"/>
      <c r="GY204" s="8"/>
      <c r="GZ204" s="8"/>
      <c r="HA204" s="8"/>
      <c r="HB204" s="8"/>
      <c r="HC204" s="8"/>
      <c r="HD204" s="8"/>
      <c r="HE204" s="8"/>
      <c r="HF204" s="8"/>
      <c r="HG204" s="8"/>
      <c r="HH204" s="8"/>
      <c r="HI204" s="8"/>
      <c r="HJ204" s="8"/>
      <c r="HK204" s="8"/>
      <c r="HL204" s="8"/>
      <c r="HM204" s="8"/>
      <c r="HN204" s="8"/>
      <c r="HO204" s="8"/>
      <c r="HP204" s="8"/>
      <c r="HQ204" s="8"/>
      <c r="HR204" s="8"/>
      <c r="HS204" s="8"/>
      <c r="HT204" s="8"/>
      <c r="HU204" s="8"/>
      <c r="HV204" s="8"/>
      <c r="HW204" s="8"/>
      <c r="HX204" s="8"/>
      <c r="HY204" s="8"/>
      <c r="HZ204" s="8"/>
      <c r="IA204" s="8"/>
      <c r="IB204" s="8"/>
      <c r="IC204" s="8"/>
      <c r="ID204" s="8"/>
      <c r="IE204" s="8"/>
      <c r="IF204" s="8"/>
      <c r="IG204" s="8"/>
      <c r="IH204" s="8"/>
      <c r="II204" s="8"/>
      <c r="IJ204" s="8"/>
      <c r="IK204" s="8"/>
      <c r="IL204" s="8"/>
      <c r="IM204" s="8"/>
    </row>
    <row r="205" spans="1:247" x14ac:dyDescent="0.25">
      <c r="A205" s="4">
        <v>8113</v>
      </c>
      <c r="B205" s="9" t="s">
        <v>216</v>
      </c>
      <c r="C205" s="10" t="s">
        <v>217</v>
      </c>
      <c r="D205" s="1721" t="s">
        <v>3060</v>
      </c>
      <c r="E205" s="1728"/>
      <c r="F205" s="1723">
        <f t="shared" si="58"/>
        <v>1.0209999999999999</v>
      </c>
      <c r="G205" s="1729">
        <f>+$G$3</f>
        <v>1.0269999999999999</v>
      </c>
      <c r="H205" s="1728"/>
      <c r="I205" s="1730"/>
      <c r="J205" s="1730"/>
      <c r="K205" s="1730"/>
      <c r="L205" s="1730"/>
      <c r="M205" s="1730"/>
      <c r="N205" s="1729"/>
      <c r="O205" s="1731"/>
      <c r="P205" s="1728">
        <f t="shared" si="60"/>
        <v>1.032</v>
      </c>
      <c r="Q205" s="1729">
        <f t="shared" si="61"/>
        <v>1.0349999999999999</v>
      </c>
      <c r="R205" s="1732">
        <f t="shared" si="59"/>
        <v>1.1199953840399997</v>
      </c>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c r="CA205" s="8"/>
      <c r="CB205" s="8"/>
      <c r="CC205" s="8"/>
      <c r="CD205" s="8"/>
      <c r="CE205" s="8"/>
      <c r="CF205" s="8"/>
      <c r="CG205" s="8"/>
      <c r="CH205" s="8"/>
      <c r="CI205" s="8"/>
      <c r="CJ205" s="8"/>
      <c r="CK205" s="8"/>
      <c r="CL205" s="8"/>
      <c r="CM205" s="8"/>
      <c r="CN205" s="8"/>
      <c r="CO205" s="8"/>
      <c r="CP205" s="8"/>
      <c r="CQ205" s="8"/>
      <c r="CR205" s="8"/>
      <c r="CS205" s="8"/>
      <c r="CT205" s="8"/>
      <c r="CU205" s="8"/>
      <c r="CV205" s="8"/>
      <c r="CW205" s="8"/>
      <c r="CX205" s="8"/>
      <c r="CY205" s="8"/>
      <c r="CZ205" s="8"/>
      <c r="DA205" s="8"/>
      <c r="DB205" s="8"/>
      <c r="DC205" s="8"/>
      <c r="DD205" s="8"/>
      <c r="DE205" s="8"/>
      <c r="DF205" s="8"/>
      <c r="DG205" s="8"/>
      <c r="DH205" s="8"/>
      <c r="DI205" s="8"/>
      <c r="DJ205" s="8"/>
      <c r="DK205" s="8"/>
      <c r="DL205" s="8"/>
      <c r="DM205" s="8"/>
      <c r="DN205" s="8"/>
      <c r="DO205" s="8"/>
      <c r="DP205" s="8"/>
      <c r="DQ205" s="8"/>
      <c r="DR205" s="8"/>
      <c r="DS205" s="8"/>
      <c r="DT205" s="8"/>
      <c r="DU205" s="8"/>
      <c r="DV205" s="8"/>
      <c r="DW205" s="8"/>
      <c r="DX205" s="8"/>
      <c r="DY205" s="8"/>
      <c r="DZ205" s="8"/>
      <c r="EA205" s="8"/>
      <c r="EB205" s="8"/>
      <c r="EC205" s="8"/>
      <c r="ED205" s="8"/>
      <c r="EE205" s="8"/>
      <c r="EF205" s="8"/>
      <c r="EG205" s="8"/>
      <c r="EH205" s="8"/>
      <c r="EI205" s="8"/>
      <c r="EJ205" s="8"/>
      <c r="EK205" s="8"/>
      <c r="EL205" s="8"/>
      <c r="EM205" s="8"/>
      <c r="EN205" s="8"/>
      <c r="EO205" s="8"/>
      <c r="EP205" s="8"/>
      <c r="EQ205" s="8"/>
      <c r="ER205" s="8"/>
      <c r="ES205" s="8"/>
      <c r="ET205" s="8"/>
      <c r="EU205" s="8"/>
      <c r="EV205" s="8"/>
      <c r="EW205" s="8"/>
      <c r="EX205" s="8"/>
      <c r="EY205" s="8"/>
      <c r="EZ205" s="8"/>
      <c r="FA205" s="8"/>
      <c r="FB205" s="8"/>
      <c r="FC205" s="8"/>
      <c r="FD205" s="8"/>
      <c r="FE205" s="8"/>
      <c r="FF205" s="8"/>
      <c r="FG205" s="8"/>
      <c r="FH205" s="8"/>
      <c r="FI205" s="8"/>
      <c r="FJ205" s="8"/>
      <c r="FK205" s="8"/>
      <c r="FL205" s="8"/>
      <c r="FM205" s="8"/>
      <c r="FN205" s="8"/>
      <c r="FO205" s="8"/>
      <c r="FP205" s="8"/>
      <c r="FQ205" s="8"/>
      <c r="FR205" s="8"/>
      <c r="FS205" s="8"/>
      <c r="FT205" s="8"/>
      <c r="FU205" s="8"/>
      <c r="FV205" s="8"/>
      <c r="FW205" s="8"/>
      <c r="FX205" s="8"/>
      <c r="FY205" s="8"/>
      <c r="FZ205" s="8"/>
      <c r="GA205" s="8"/>
      <c r="GB205" s="8"/>
      <c r="GC205" s="8"/>
      <c r="GD205" s="8"/>
      <c r="GE205" s="8"/>
      <c r="GF205" s="8"/>
      <c r="GG205" s="8"/>
      <c r="GH205" s="8"/>
      <c r="GI205" s="8"/>
      <c r="GJ205" s="8"/>
      <c r="GK205" s="8"/>
      <c r="GL205" s="8"/>
      <c r="GM205" s="8"/>
      <c r="GN205" s="8"/>
      <c r="GO205" s="8"/>
      <c r="GP205" s="8"/>
      <c r="GQ205" s="8"/>
      <c r="GR205" s="8"/>
      <c r="GS205" s="8"/>
      <c r="GT205" s="8"/>
      <c r="GU205" s="8"/>
      <c r="GV205" s="8"/>
      <c r="GW205" s="8"/>
      <c r="GX205" s="8"/>
      <c r="GY205" s="8"/>
      <c r="GZ205" s="8"/>
      <c r="HA205" s="8"/>
      <c r="HB205" s="8"/>
      <c r="HC205" s="8"/>
      <c r="HD205" s="8"/>
      <c r="HE205" s="8"/>
      <c r="HF205" s="8"/>
      <c r="HG205" s="8"/>
      <c r="HH205" s="8"/>
      <c r="HI205" s="8"/>
      <c r="HJ205" s="8"/>
      <c r="HK205" s="8"/>
      <c r="HL205" s="8"/>
      <c r="HM205" s="8"/>
      <c r="HN205" s="8"/>
      <c r="HO205" s="8"/>
      <c r="HP205" s="8"/>
      <c r="HQ205" s="8"/>
      <c r="HR205" s="8"/>
      <c r="HS205" s="8"/>
      <c r="HT205" s="8"/>
      <c r="HU205" s="8"/>
      <c r="HV205" s="8"/>
      <c r="HW205" s="8"/>
      <c r="HX205" s="8"/>
      <c r="HY205" s="8"/>
      <c r="HZ205" s="8"/>
      <c r="IA205" s="8"/>
      <c r="IB205" s="8"/>
      <c r="IC205" s="8"/>
      <c r="ID205" s="8"/>
      <c r="IE205" s="8"/>
      <c r="IF205" s="8"/>
      <c r="IG205" s="8"/>
      <c r="IH205" s="8"/>
      <c r="II205" s="8"/>
      <c r="IJ205" s="8"/>
      <c r="IK205" s="8"/>
      <c r="IL205" s="8"/>
      <c r="IM205" s="8"/>
    </row>
    <row r="206" spans="1:247" x14ac:dyDescent="0.25">
      <c r="A206" s="4">
        <v>8114</v>
      </c>
      <c r="B206" s="9" t="s">
        <v>218</v>
      </c>
      <c r="C206" s="10" t="s">
        <v>215</v>
      </c>
      <c r="D206" s="1721" t="s">
        <v>3060</v>
      </c>
      <c r="E206" s="1728"/>
      <c r="F206" s="1723">
        <f t="shared" si="58"/>
        <v>1.0209999999999999</v>
      </c>
      <c r="G206" s="1729">
        <f>+$G$3</f>
        <v>1.0269999999999999</v>
      </c>
      <c r="H206" s="1728"/>
      <c r="I206" s="1730"/>
      <c r="J206" s="1730"/>
      <c r="K206" s="1730"/>
      <c r="L206" s="1730"/>
      <c r="M206" s="1730"/>
      <c r="N206" s="1729"/>
      <c r="O206" s="1731"/>
      <c r="P206" s="1728">
        <f t="shared" si="60"/>
        <v>1.032</v>
      </c>
      <c r="Q206" s="1729">
        <f t="shared" si="61"/>
        <v>1.0349999999999999</v>
      </c>
      <c r="R206" s="1732">
        <f t="shared" si="59"/>
        <v>1.1199953840399997</v>
      </c>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c r="CA206" s="8"/>
      <c r="CB206" s="8"/>
      <c r="CC206" s="8"/>
      <c r="CD206" s="8"/>
      <c r="CE206" s="8"/>
      <c r="CF206" s="8"/>
      <c r="CG206" s="8"/>
      <c r="CH206" s="8"/>
      <c r="CI206" s="8"/>
      <c r="CJ206" s="8"/>
      <c r="CK206" s="8"/>
      <c r="CL206" s="8"/>
      <c r="CM206" s="8"/>
      <c r="CN206" s="8"/>
      <c r="CO206" s="8"/>
      <c r="CP206" s="8"/>
      <c r="CQ206" s="8"/>
      <c r="CR206" s="8"/>
      <c r="CS206" s="8"/>
      <c r="CT206" s="8"/>
      <c r="CU206" s="8"/>
      <c r="CV206" s="8"/>
      <c r="CW206" s="8"/>
      <c r="CX206" s="8"/>
      <c r="CY206" s="8"/>
      <c r="CZ206" s="8"/>
      <c r="DA206" s="8"/>
      <c r="DB206" s="8"/>
      <c r="DC206" s="8"/>
      <c r="DD206" s="8"/>
      <c r="DE206" s="8"/>
      <c r="DF206" s="8"/>
      <c r="DG206" s="8"/>
      <c r="DH206" s="8"/>
      <c r="DI206" s="8"/>
      <c r="DJ206" s="8"/>
      <c r="DK206" s="8"/>
      <c r="DL206" s="8"/>
      <c r="DM206" s="8"/>
      <c r="DN206" s="8"/>
      <c r="DO206" s="8"/>
      <c r="DP206" s="8"/>
      <c r="DQ206" s="8"/>
      <c r="DR206" s="8"/>
      <c r="DS206" s="8"/>
      <c r="DT206" s="8"/>
      <c r="DU206" s="8"/>
      <c r="DV206" s="8"/>
      <c r="DW206" s="8"/>
      <c r="DX206" s="8"/>
      <c r="DY206" s="8"/>
      <c r="DZ206" s="8"/>
      <c r="EA206" s="8"/>
      <c r="EB206" s="8"/>
      <c r="EC206" s="8"/>
      <c r="ED206" s="8"/>
      <c r="EE206" s="8"/>
      <c r="EF206" s="8"/>
      <c r="EG206" s="8"/>
      <c r="EH206" s="8"/>
      <c r="EI206" s="8"/>
      <c r="EJ206" s="8"/>
      <c r="EK206" s="8"/>
      <c r="EL206" s="8"/>
      <c r="EM206" s="8"/>
      <c r="EN206" s="8"/>
      <c r="EO206" s="8"/>
      <c r="EP206" s="8"/>
      <c r="EQ206" s="8"/>
      <c r="ER206" s="8"/>
      <c r="ES206" s="8"/>
      <c r="ET206" s="8"/>
      <c r="EU206" s="8"/>
      <c r="EV206" s="8"/>
      <c r="EW206" s="8"/>
      <c r="EX206" s="8"/>
      <c r="EY206" s="8"/>
      <c r="EZ206" s="8"/>
      <c r="FA206" s="8"/>
      <c r="FB206" s="8"/>
      <c r="FC206" s="8"/>
      <c r="FD206" s="8"/>
      <c r="FE206" s="8"/>
      <c r="FF206" s="8"/>
      <c r="FG206" s="8"/>
      <c r="FH206" s="8"/>
      <c r="FI206" s="8"/>
      <c r="FJ206" s="8"/>
      <c r="FK206" s="8"/>
      <c r="FL206" s="8"/>
      <c r="FM206" s="8"/>
      <c r="FN206" s="8"/>
      <c r="FO206" s="8"/>
      <c r="FP206" s="8"/>
      <c r="FQ206" s="8"/>
      <c r="FR206" s="8"/>
      <c r="FS206" s="8"/>
      <c r="FT206" s="8"/>
      <c r="FU206" s="8"/>
      <c r="FV206" s="8"/>
      <c r="FW206" s="8"/>
      <c r="FX206" s="8"/>
      <c r="FY206" s="8"/>
      <c r="FZ206" s="8"/>
      <c r="GA206" s="8"/>
      <c r="GB206" s="8"/>
      <c r="GC206" s="8"/>
      <c r="GD206" s="8"/>
      <c r="GE206" s="8"/>
      <c r="GF206" s="8"/>
      <c r="GG206" s="8"/>
      <c r="GH206" s="8"/>
      <c r="GI206" s="8"/>
      <c r="GJ206" s="8"/>
      <c r="GK206" s="8"/>
      <c r="GL206" s="8"/>
      <c r="GM206" s="8"/>
      <c r="GN206" s="8"/>
      <c r="GO206" s="8"/>
      <c r="GP206" s="8"/>
      <c r="GQ206" s="8"/>
      <c r="GR206" s="8"/>
      <c r="GS206" s="8"/>
      <c r="GT206" s="8"/>
      <c r="GU206" s="8"/>
      <c r="GV206" s="8"/>
      <c r="GW206" s="8"/>
      <c r="GX206" s="8"/>
      <c r="GY206" s="8"/>
      <c r="GZ206" s="8"/>
      <c r="HA206" s="8"/>
      <c r="HB206" s="8"/>
      <c r="HC206" s="8"/>
      <c r="HD206" s="8"/>
      <c r="HE206" s="8"/>
      <c r="HF206" s="8"/>
      <c r="HG206" s="8"/>
      <c r="HH206" s="8"/>
      <c r="HI206" s="8"/>
      <c r="HJ206" s="8"/>
      <c r="HK206" s="8"/>
      <c r="HL206" s="8"/>
      <c r="HM206" s="8"/>
      <c r="HN206" s="8"/>
      <c r="HO206" s="8"/>
      <c r="HP206" s="8"/>
      <c r="HQ206" s="8"/>
      <c r="HR206" s="8"/>
      <c r="HS206" s="8"/>
      <c r="HT206" s="8"/>
      <c r="HU206" s="8"/>
      <c r="HV206" s="8"/>
      <c r="HW206" s="8"/>
      <c r="HX206" s="8"/>
      <c r="HY206" s="8"/>
      <c r="HZ206" s="8"/>
      <c r="IA206" s="8"/>
      <c r="IB206" s="8"/>
      <c r="IC206" s="8"/>
      <c r="ID206" s="8"/>
      <c r="IE206" s="8"/>
      <c r="IF206" s="8"/>
      <c r="IG206" s="8"/>
      <c r="IH206" s="8"/>
      <c r="II206" s="8"/>
      <c r="IJ206" s="8"/>
      <c r="IK206" s="8"/>
      <c r="IL206" s="8"/>
      <c r="IM206" s="8"/>
    </row>
    <row r="207" spans="1:247" x14ac:dyDescent="0.25">
      <c r="A207" s="4">
        <v>8115</v>
      </c>
      <c r="B207" s="9" t="s">
        <v>219</v>
      </c>
      <c r="C207" s="10" t="s">
        <v>215</v>
      </c>
      <c r="D207" s="1721" t="s">
        <v>3060</v>
      </c>
      <c r="E207" s="1728"/>
      <c r="F207" s="1723">
        <f t="shared" si="58"/>
        <v>1.0209999999999999</v>
      </c>
      <c r="G207" s="1729">
        <f>+$G$3</f>
        <v>1.0269999999999999</v>
      </c>
      <c r="H207" s="1728"/>
      <c r="I207" s="1730"/>
      <c r="J207" s="1730"/>
      <c r="K207" s="1730"/>
      <c r="L207" s="1730"/>
      <c r="M207" s="1730"/>
      <c r="N207" s="1729"/>
      <c r="O207" s="1731"/>
      <c r="P207" s="1728">
        <f t="shared" si="60"/>
        <v>1.032</v>
      </c>
      <c r="Q207" s="1729">
        <f t="shared" si="61"/>
        <v>1.0349999999999999</v>
      </c>
      <c r="R207" s="1732">
        <f>PRODUCT(E207:Q207)</f>
        <v>1.1199953840399997</v>
      </c>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c r="CA207" s="8"/>
      <c r="CB207" s="8"/>
      <c r="CC207" s="8"/>
      <c r="CD207" s="8"/>
      <c r="CE207" s="8"/>
      <c r="CF207" s="8"/>
      <c r="CG207" s="8"/>
      <c r="CH207" s="8"/>
      <c r="CI207" s="8"/>
      <c r="CJ207" s="8"/>
      <c r="CK207" s="8"/>
      <c r="CL207" s="8"/>
      <c r="CM207" s="8"/>
      <c r="CN207" s="8"/>
      <c r="CO207" s="8"/>
      <c r="CP207" s="8"/>
      <c r="CQ207" s="8"/>
      <c r="CR207" s="8"/>
      <c r="CS207" s="8"/>
      <c r="CT207" s="8"/>
      <c r="CU207" s="8"/>
      <c r="CV207" s="8"/>
      <c r="CW207" s="8"/>
      <c r="CX207" s="8"/>
      <c r="CY207" s="8"/>
      <c r="CZ207" s="8"/>
      <c r="DA207" s="8"/>
      <c r="DB207" s="8"/>
      <c r="DC207" s="8"/>
      <c r="DD207" s="8"/>
      <c r="DE207" s="8"/>
      <c r="DF207" s="8"/>
      <c r="DG207" s="8"/>
      <c r="DH207" s="8"/>
      <c r="DI207" s="8"/>
      <c r="DJ207" s="8"/>
      <c r="DK207" s="8"/>
      <c r="DL207" s="8"/>
      <c r="DM207" s="8"/>
      <c r="DN207" s="8"/>
      <c r="DO207" s="8"/>
      <c r="DP207" s="8"/>
      <c r="DQ207" s="8"/>
      <c r="DR207" s="8"/>
      <c r="DS207" s="8"/>
      <c r="DT207" s="8"/>
      <c r="DU207" s="8"/>
      <c r="DV207" s="8"/>
      <c r="DW207" s="8"/>
      <c r="DX207" s="8"/>
      <c r="DY207" s="8"/>
      <c r="DZ207" s="8"/>
      <c r="EA207" s="8"/>
      <c r="EB207" s="8"/>
      <c r="EC207" s="8"/>
      <c r="ED207" s="8"/>
      <c r="EE207" s="8"/>
      <c r="EF207" s="8"/>
      <c r="EG207" s="8"/>
      <c r="EH207" s="8"/>
      <c r="EI207" s="8"/>
      <c r="EJ207" s="8"/>
      <c r="EK207" s="8"/>
      <c r="EL207" s="8"/>
      <c r="EM207" s="8"/>
      <c r="EN207" s="8"/>
      <c r="EO207" s="8"/>
      <c r="EP207" s="8"/>
      <c r="EQ207" s="8"/>
      <c r="ER207" s="8"/>
      <c r="ES207" s="8"/>
      <c r="ET207" s="8"/>
      <c r="EU207" s="8"/>
      <c r="EV207" s="8"/>
      <c r="EW207" s="8"/>
      <c r="EX207" s="8"/>
      <c r="EY207" s="8"/>
      <c r="EZ207" s="8"/>
      <c r="FA207" s="8"/>
      <c r="FB207" s="8"/>
      <c r="FC207" s="8"/>
      <c r="FD207" s="8"/>
      <c r="FE207" s="8"/>
      <c r="FF207" s="8"/>
      <c r="FG207" s="8"/>
      <c r="FH207" s="8"/>
      <c r="FI207" s="8"/>
      <c r="FJ207" s="8"/>
      <c r="FK207" s="8"/>
      <c r="FL207" s="8"/>
      <c r="FM207" s="8"/>
      <c r="FN207" s="8"/>
      <c r="FO207" s="8"/>
      <c r="FP207" s="8"/>
      <c r="FQ207" s="8"/>
      <c r="FR207" s="8"/>
      <c r="FS207" s="8"/>
      <c r="FT207" s="8"/>
      <c r="FU207" s="8"/>
      <c r="FV207" s="8"/>
      <c r="FW207" s="8"/>
      <c r="FX207" s="8"/>
      <c r="FY207" s="8"/>
      <c r="FZ207" s="8"/>
      <c r="GA207" s="8"/>
      <c r="GB207" s="8"/>
      <c r="GC207" s="8"/>
      <c r="GD207" s="8"/>
      <c r="GE207" s="8"/>
      <c r="GF207" s="8"/>
      <c r="GG207" s="8"/>
      <c r="GH207" s="8"/>
      <c r="GI207" s="8"/>
      <c r="GJ207" s="8"/>
      <c r="GK207" s="8"/>
      <c r="GL207" s="8"/>
      <c r="GM207" s="8"/>
      <c r="GN207" s="8"/>
      <c r="GO207" s="8"/>
      <c r="GP207" s="8"/>
      <c r="GQ207" s="8"/>
      <c r="GR207" s="8"/>
      <c r="GS207" s="8"/>
      <c r="GT207" s="8"/>
      <c r="GU207" s="8"/>
      <c r="GV207" s="8"/>
      <c r="GW207" s="8"/>
      <c r="GX207" s="8"/>
      <c r="GY207" s="8"/>
      <c r="GZ207" s="8"/>
      <c r="HA207" s="8"/>
      <c r="HB207" s="8"/>
      <c r="HC207" s="8"/>
      <c r="HD207" s="8"/>
      <c r="HE207" s="8"/>
      <c r="HF207" s="8"/>
      <c r="HG207" s="8"/>
      <c r="HH207" s="8"/>
      <c r="HI207" s="8"/>
      <c r="HJ207" s="8"/>
      <c r="HK207" s="8"/>
      <c r="HL207" s="8"/>
      <c r="HM207" s="8"/>
      <c r="HN207" s="8"/>
      <c r="HO207" s="8"/>
      <c r="HP207" s="8"/>
      <c r="HQ207" s="8"/>
      <c r="HR207" s="8"/>
      <c r="HS207" s="8"/>
      <c r="HT207" s="8"/>
      <c r="HU207" s="8"/>
      <c r="HV207" s="8"/>
      <c r="HW207" s="8"/>
      <c r="HX207" s="8"/>
      <c r="HY207" s="8"/>
      <c r="HZ207" s="8"/>
      <c r="IA207" s="8"/>
      <c r="IB207" s="8"/>
      <c r="IC207" s="8"/>
      <c r="ID207" s="8"/>
      <c r="IE207" s="8"/>
      <c r="IF207" s="8"/>
      <c r="IG207" s="8"/>
      <c r="IH207" s="8"/>
      <c r="II207" s="8"/>
      <c r="IJ207" s="8"/>
      <c r="IK207" s="8"/>
      <c r="IL207" s="8"/>
      <c r="IM207" s="8"/>
    </row>
    <row r="208" spans="1:247" x14ac:dyDescent="0.25">
      <c r="A208" s="4">
        <v>8122</v>
      </c>
      <c r="B208" s="9" t="s">
        <v>220</v>
      </c>
      <c r="C208" s="10" t="s">
        <v>11</v>
      </c>
      <c r="D208" s="1721" t="s">
        <v>3060</v>
      </c>
      <c r="E208" s="1728"/>
      <c r="F208" s="1723">
        <f t="shared" si="58"/>
        <v>1.0209999999999999</v>
      </c>
      <c r="G208" s="1729"/>
      <c r="H208" s="1728"/>
      <c r="I208" s="1730"/>
      <c r="J208" s="1730"/>
      <c r="K208" s="1730"/>
      <c r="L208" s="1730"/>
      <c r="M208" s="1730"/>
      <c r="N208" s="1729"/>
      <c r="O208" s="1731"/>
      <c r="P208" s="1728">
        <f t="shared" si="60"/>
        <v>1.032</v>
      </c>
      <c r="Q208" s="1729">
        <f t="shared" si="61"/>
        <v>1.0349999999999999</v>
      </c>
      <c r="R208" s="1732">
        <f t="shared" si="59"/>
        <v>1.0905505199999999</v>
      </c>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c r="CA208" s="8"/>
      <c r="CB208" s="8"/>
      <c r="CC208" s="8"/>
      <c r="CD208" s="8"/>
      <c r="CE208" s="8"/>
      <c r="CF208" s="8"/>
      <c r="CG208" s="8"/>
      <c r="CH208" s="8"/>
      <c r="CI208" s="8"/>
      <c r="CJ208" s="8"/>
      <c r="CK208" s="8"/>
      <c r="CL208" s="8"/>
      <c r="CM208" s="8"/>
      <c r="CN208" s="8"/>
      <c r="CO208" s="8"/>
      <c r="CP208" s="8"/>
      <c r="CQ208" s="8"/>
      <c r="CR208" s="8"/>
      <c r="CS208" s="8"/>
      <c r="CT208" s="8"/>
      <c r="CU208" s="8"/>
      <c r="CV208" s="8"/>
      <c r="CW208" s="8"/>
      <c r="CX208" s="8"/>
      <c r="CY208" s="8"/>
      <c r="CZ208" s="8"/>
      <c r="DA208" s="8"/>
      <c r="DB208" s="8"/>
      <c r="DC208" s="8"/>
      <c r="DD208" s="8"/>
      <c r="DE208" s="8"/>
      <c r="DF208" s="8"/>
      <c r="DG208" s="8"/>
      <c r="DH208" s="8"/>
      <c r="DI208" s="8"/>
      <c r="DJ208" s="8"/>
      <c r="DK208" s="8"/>
      <c r="DL208" s="8"/>
      <c r="DM208" s="8"/>
      <c r="DN208" s="8"/>
      <c r="DO208" s="8"/>
      <c r="DP208" s="8"/>
      <c r="DQ208" s="8"/>
      <c r="DR208" s="8"/>
      <c r="DS208" s="8"/>
      <c r="DT208" s="8"/>
      <c r="DU208" s="8"/>
      <c r="DV208" s="8"/>
      <c r="DW208" s="8"/>
      <c r="DX208" s="8"/>
      <c r="DY208" s="8"/>
      <c r="DZ208" s="8"/>
      <c r="EA208" s="8"/>
      <c r="EB208" s="8"/>
      <c r="EC208" s="8"/>
      <c r="ED208" s="8"/>
      <c r="EE208" s="8"/>
      <c r="EF208" s="8"/>
      <c r="EG208" s="8"/>
      <c r="EH208" s="8"/>
      <c r="EI208" s="8"/>
      <c r="EJ208" s="8"/>
      <c r="EK208" s="8"/>
      <c r="EL208" s="8"/>
      <c r="EM208" s="8"/>
      <c r="EN208" s="8"/>
      <c r="EO208" s="8"/>
      <c r="EP208" s="8"/>
      <c r="EQ208" s="8"/>
      <c r="ER208" s="8"/>
      <c r="ES208" s="8"/>
      <c r="ET208" s="8"/>
      <c r="EU208" s="8"/>
      <c r="EV208" s="8"/>
      <c r="EW208" s="8"/>
      <c r="EX208" s="8"/>
      <c r="EY208" s="8"/>
      <c r="EZ208" s="8"/>
      <c r="FA208" s="8"/>
      <c r="FB208" s="8"/>
      <c r="FC208" s="8"/>
      <c r="FD208" s="8"/>
      <c r="FE208" s="8"/>
      <c r="FF208" s="8"/>
      <c r="FG208" s="8"/>
      <c r="FH208" s="8"/>
      <c r="FI208" s="8"/>
      <c r="FJ208" s="8"/>
      <c r="FK208" s="8"/>
      <c r="FL208" s="8"/>
      <c r="FM208" s="8"/>
      <c r="FN208" s="8"/>
      <c r="FO208" s="8"/>
      <c r="FP208" s="8"/>
      <c r="FQ208" s="8"/>
      <c r="FR208" s="8"/>
      <c r="FS208" s="8"/>
      <c r="FT208" s="8"/>
      <c r="FU208" s="8"/>
      <c r="FV208" s="8"/>
      <c r="FW208" s="8"/>
      <c r="FX208" s="8"/>
      <c r="FY208" s="8"/>
      <c r="FZ208" s="8"/>
      <c r="GA208" s="8"/>
      <c r="GB208" s="8"/>
      <c r="GC208" s="8"/>
      <c r="GD208" s="8"/>
      <c r="GE208" s="8"/>
      <c r="GF208" s="8"/>
      <c r="GG208" s="8"/>
      <c r="GH208" s="8"/>
      <c r="GI208" s="8"/>
      <c r="GJ208" s="8"/>
      <c r="GK208" s="8"/>
      <c r="GL208" s="8"/>
      <c r="GM208" s="8"/>
      <c r="GN208" s="8"/>
      <c r="GO208" s="8"/>
      <c r="GP208" s="8"/>
      <c r="GQ208" s="8"/>
      <c r="GR208" s="8"/>
      <c r="GS208" s="8"/>
      <c r="GT208" s="8"/>
      <c r="GU208" s="8"/>
      <c r="GV208" s="8"/>
      <c r="GW208" s="8"/>
      <c r="GX208" s="8"/>
      <c r="GY208" s="8"/>
      <c r="GZ208" s="8"/>
      <c r="HA208" s="8"/>
      <c r="HB208" s="8"/>
      <c r="HC208" s="8"/>
      <c r="HD208" s="8"/>
      <c r="HE208" s="8"/>
      <c r="HF208" s="8"/>
      <c r="HG208" s="8"/>
      <c r="HH208" s="8"/>
      <c r="HI208" s="8"/>
      <c r="HJ208" s="8"/>
      <c r="HK208" s="8"/>
      <c r="HL208" s="8"/>
      <c r="HM208" s="8"/>
      <c r="HN208" s="8"/>
      <c r="HO208" s="8"/>
      <c r="HP208" s="8"/>
      <c r="HQ208" s="8"/>
      <c r="HR208" s="8"/>
      <c r="HS208" s="8"/>
      <c r="HT208" s="8"/>
      <c r="HU208" s="8"/>
      <c r="HV208" s="8"/>
      <c r="HW208" s="8"/>
      <c r="HX208" s="8"/>
      <c r="HY208" s="8"/>
      <c r="HZ208" s="8"/>
      <c r="IA208" s="8"/>
      <c r="IB208" s="8"/>
      <c r="IC208" s="8"/>
      <c r="ID208" s="8"/>
      <c r="IE208" s="8"/>
      <c r="IF208" s="8"/>
      <c r="IG208" s="8"/>
      <c r="IH208" s="8"/>
      <c r="II208" s="8"/>
      <c r="IJ208" s="8"/>
      <c r="IK208" s="8"/>
      <c r="IL208" s="8"/>
      <c r="IM208" s="8"/>
    </row>
    <row r="209" spans="1:247" x14ac:dyDescent="0.25">
      <c r="A209" s="4">
        <v>8134</v>
      </c>
      <c r="B209" s="9" t="s">
        <v>3069</v>
      </c>
      <c r="C209" s="10" t="s">
        <v>11</v>
      </c>
      <c r="D209" s="1721" t="s">
        <v>3060</v>
      </c>
      <c r="E209" s="1728"/>
      <c r="F209" s="1723">
        <f t="shared" si="58"/>
        <v>1.0209999999999999</v>
      </c>
      <c r="G209" s="1729"/>
      <c r="H209" s="1728"/>
      <c r="I209" s="1730"/>
      <c r="J209" s="1730"/>
      <c r="K209" s="1730"/>
      <c r="L209" s="1730"/>
      <c r="M209" s="1730"/>
      <c r="N209" s="1729"/>
      <c r="O209" s="1731"/>
      <c r="P209" s="1728">
        <f t="shared" si="60"/>
        <v>1.032</v>
      </c>
      <c r="Q209" s="1729">
        <f t="shared" si="61"/>
        <v>1.0349999999999999</v>
      </c>
      <c r="R209" s="1732">
        <f>PRODUCT(E209:Q209)</f>
        <v>1.0905505199999999</v>
      </c>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c r="CA209" s="8"/>
      <c r="CB209" s="8"/>
      <c r="CC209" s="8"/>
      <c r="CD209" s="8"/>
      <c r="CE209" s="8"/>
      <c r="CF209" s="8"/>
      <c r="CG209" s="8"/>
      <c r="CH209" s="8"/>
      <c r="CI209" s="8"/>
      <c r="CJ209" s="8"/>
      <c r="CK209" s="8"/>
      <c r="CL209" s="8"/>
      <c r="CM209" s="8"/>
      <c r="CN209" s="8"/>
      <c r="CO209" s="8"/>
      <c r="CP209" s="8"/>
      <c r="CQ209" s="8"/>
      <c r="CR209" s="8"/>
      <c r="CS209" s="8"/>
      <c r="CT209" s="8"/>
      <c r="CU209" s="8"/>
      <c r="CV209" s="8"/>
      <c r="CW209" s="8"/>
      <c r="CX209" s="8"/>
      <c r="CY209" s="8"/>
      <c r="CZ209" s="8"/>
      <c r="DA209" s="8"/>
      <c r="DB209" s="8"/>
      <c r="DC209" s="8"/>
      <c r="DD209" s="8"/>
      <c r="DE209" s="8"/>
      <c r="DF209" s="8"/>
      <c r="DG209" s="8"/>
      <c r="DH209" s="8"/>
      <c r="DI209" s="8"/>
      <c r="DJ209" s="8"/>
      <c r="DK209" s="8"/>
      <c r="DL209" s="8"/>
      <c r="DM209" s="8"/>
      <c r="DN209" s="8"/>
      <c r="DO209" s="8"/>
      <c r="DP209" s="8"/>
      <c r="DQ209" s="8"/>
      <c r="DR209" s="8"/>
      <c r="DS209" s="8"/>
      <c r="DT209" s="8"/>
      <c r="DU209" s="8"/>
      <c r="DV209" s="8"/>
      <c r="DW209" s="8"/>
      <c r="DX209" s="8"/>
      <c r="DY209" s="8"/>
      <c r="DZ209" s="8"/>
      <c r="EA209" s="8"/>
      <c r="EB209" s="8"/>
      <c r="EC209" s="8"/>
      <c r="ED209" s="8"/>
      <c r="EE209" s="8"/>
      <c r="EF209" s="8"/>
      <c r="EG209" s="8"/>
      <c r="EH209" s="8"/>
      <c r="EI209" s="8"/>
      <c r="EJ209" s="8"/>
      <c r="EK209" s="8"/>
      <c r="EL209" s="8"/>
      <c r="EM209" s="8"/>
      <c r="EN209" s="8"/>
      <c r="EO209" s="8"/>
      <c r="EP209" s="8"/>
      <c r="EQ209" s="8"/>
      <c r="ER209" s="8"/>
      <c r="ES209" s="8"/>
      <c r="ET209" s="8"/>
      <c r="EU209" s="8"/>
      <c r="EV209" s="8"/>
      <c r="EW209" s="8"/>
      <c r="EX209" s="8"/>
      <c r="EY209" s="8"/>
      <c r="EZ209" s="8"/>
      <c r="FA209" s="8"/>
      <c r="FB209" s="8"/>
      <c r="FC209" s="8"/>
      <c r="FD209" s="8"/>
      <c r="FE209" s="8"/>
      <c r="FF209" s="8"/>
      <c r="FG209" s="8"/>
      <c r="FH209" s="8"/>
      <c r="FI209" s="8"/>
      <c r="FJ209" s="8"/>
      <c r="FK209" s="8"/>
      <c r="FL209" s="8"/>
      <c r="FM209" s="8"/>
      <c r="FN209" s="8"/>
      <c r="FO209" s="8"/>
      <c r="FP209" s="8"/>
      <c r="FQ209" s="8"/>
      <c r="FR209" s="8"/>
      <c r="FS209" s="8"/>
      <c r="FT209" s="8"/>
      <c r="FU209" s="8"/>
      <c r="FV209" s="8"/>
      <c r="FW209" s="8"/>
      <c r="FX209" s="8"/>
      <c r="FY209" s="8"/>
      <c r="FZ209" s="8"/>
      <c r="GA209" s="8"/>
      <c r="GB209" s="8"/>
      <c r="GC209" s="8"/>
      <c r="GD209" s="8"/>
      <c r="GE209" s="8"/>
      <c r="GF209" s="8"/>
      <c r="GG209" s="8"/>
      <c r="GH209" s="8"/>
      <c r="GI209" s="8"/>
      <c r="GJ209" s="8"/>
      <c r="GK209" s="8"/>
      <c r="GL209" s="8"/>
      <c r="GM209" s="8"/>
      <c r="GN209" s="8"/>
      <c r="GO209" s="8"/>
      <c r="GP209" s="8"/>
      <c r="GQ209" s="8"/>
      <c r="GR209" s="8"/>
      <c r="GS209" s="8"/>
      <c r="GT209" s="8"/>
      <c r="GU209" s="8"/>
      <c r="GV209" s="8"/>
      <c r="GW209" s="8"/>
      <c r="GX209" s="8"/>
      <c r="GY209" s="8"/>
      <c r="GZ209" s="8"/>
      <c r="HA209" s="8"/>
      <c r="HB209" s="8"/>
      <c r="HC209" s="8"/>
      <c r="HD209" s="8"/>
      <c r="HE209" s="8"/>
      <c r="HF209" s="8"/>
      <c r="HG209" s="8"/>
      <c r="HH209" s="8"/>
      <c r="HI209" s="8"/>
      <c r="HJ209" s="8"/>
      <c r="HK209" s="8"/>
      <c r="HL209" s="8"/>
      <c r="HM209" s="8"/>
      <c r="HN209" s="8"/>
      <c r="HO209" s="8"/>
      <c r="HP209" s="8"/>
      <c r="HQ209" s="8"/>
      <c r="HR209" s="8"/>
      <c r="HS209" s="8"/>
      <c r="HT209" s="8"/>
      <c r="HU209" s="8"/>
      <c r="HV209" s="8"/>
      <c r="HW209" s="8"/>
      <c r="HX209" s="8"/>
      <c r="HY209" s="8"/>
      <c r="HZ209" s="8"/>
      <c r="IA209" s="8"/>
      <c r="IB209" s="8"/>
      <c r="IC209" s="8"/>
      <c r="ID209" s="8"/>
      <c r="IE209" s="8"/>
      <c r="IF209" s="8"/>
      <c r="IG209" s="8"/>
      <c r="IH209" s="8"/>
      <c r="II209" s="8"/>
      <c r="IJ209" s="8"/>
      <c r="IK209" s="8"/>
      <c r="IL209" s="8"/>
      <c r="IM209" s="8"/>
    </row>
    <row r="210" spans="1:247" x14ac:dyDescent="0.25">
      <c r="A210" s="4">
        <v>8211</v>
      </c>
      <c r="B210" s="9" t="s">
        <v>222</v>
      </c>
      <c r="C210" s="10" t="s">
        <v>3070</v>
      </c>
      <c r="D210" s="1721" t="s">
        <v>3060</v>
      </c>
      <c r="E210" s="1728"/>
      <c r="F210" s="1723">
        <f t="shared" si="58"/>
        <v>1.0209999999999999</v>
      </c>
      <c r="G210" s="1729"/>
      <c r="H210" s="1728"/>
      <c r="I210" s="1730"/>
      <c r="J210" s="1730"/>
      <c r="K210" s="1730"/>
      <c r="L210" s="1730"/>
      <c r="M210" s="1730"/>
      <c r="N210" s="1729"/>
      <c r="O210" s="1731"/>
      <c r="P210" s="1728">
        <f t="shared" si="60"/>
        <v>1.032</v>
      </c>
      <c r="Q210" s="1729">
        <f t="shared" si="61"/>
        <v>1.0349999999999999</v>
      </c>
      <c r="R210" s="1732">
        <f t="shared" si="59"/>
        <v>1.0905505199999999</v>
      </c>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c r="CA210" s="8"/>
      <c r="CB210" s="8"/>
      <c r="CC210" s="8"/>
      <c r="CD210" s="8"/>
      <c r="CE210" s="8"/>
      <c r="CF210" s="8"/>
      <c r="CG210" s="8"/>
      <c r="CH210" s="8"/>
      <c r="CI210" s="8"/>
      <c r="CJ210" s="8"/>
      <c r="CK210" s="8"/>
      <c r="CL210" s="8"/>
      <c r="CM210" s="8"/>
      <c r="CN210" s="8"/>
      <c r="CO210" s="8"/>
      <c r="CP210" s="8"/>
      <c r="CQ210" s="8"/>
      <c r="CR210" s="8"/>
      <c r="CS210" s="8"/>
      <c r="CT210" s="8"/>
      <c r="CU210" s="8"/>
      <c r="CV210" s="8"/>
      <c r="CW210" s="8"/>
      <c r="CX210" s="8"/>
      <c r="CY210" s="8"/>
      <c r="CZ210" s="8"/>
      <c r="DA210" s="8"/>
      <c r="DB210" s="8"/>
      <c r="DC210" s="8"/>
      <c r="DD210" s="8"/>
      <c r="DE210" s="8"/>
      <c r="DF210" s="8"/>
      <c r="DG210" s="8"/>
      <c r="DH210" s="8"/>
      <c r="DI210" s="8"/>
      <c r="DJ210" s="8"/>
      <c r="DK210" s="8"/>
      <c r="DL210" s="8"/>
      <c r="DM210" s="8"/>
      <c r="DN210" s="8"/>
      <c r="DO210" s="8"/>
      <c r="DP210" s="8"/>
      <c r="DQ210" s="8"/>
      <c r="DR210" s="8"/>
      <c r="DS210" s="8"/>
      <c r="DT210" s="8"/>
      <c r="DU210" s="8"/>
      <c r="DV210" s="8"/>
      <c r="DW210" s="8"/>
      <c r="DX210" s="8"/>
      <c r="DY210" s="8"/>
      <c r="DZ210" s="8"/>
      <c r="EA210" s="8"/>
      <c r="EB210" s="8"/>
      <c r="EC210" s="8"/>
      <c r="ED210" s="8"/>
      <c r="EE210" s="8"/>
      <c r="EF210" s="8"/>
      <c r="EG210" s="8"/>
      <c r="EH210" s="8"/>
      <c r="EI210" s="8"/>
      <c r="EJ210" s="8"/>
      <c r="EK210" s="8"/>
      <c r="EL210" s="8"/>
      <c r="EM210" s="8"/>
      <c r="EN210" s="8"/>
      <c r="EO210" s="8"/>
      <c r="EP210" s="8"/>
      <c r="EQ210" s="8"/>
      <c r="ER210" s="8"/>
      <c r="ES210" s="8"/>
      <c r="ET210" s="8"/>
      <c r="EU210" s="8"/>
      <c r="EV210" s="8"/>
      <c r="EW210" s="8"/>
      <c r="EX210" s="8"/>
      <c r="EY210" s="8"/>
      <c r="EZ210" s="8"/>
      <c r="FA210" s="8"/>
      <c r="FB210" s="8"/>
      <c r="FC210" s="8"/>
      <c r="FD210" s="8"/>
      <c r="FE210" s="8"/>
      <c r="FF210" s="8"/>
      <c r="FG210" s="8"/>
      <c r="FH210" s="8"/>
      <c r="FI210" s="8"/>
      <c r="FJ210" s="8"/>
      <c r="FK210" s="8"/>
      <c r="FL210" s="8"/>
      <c r="FM210" s="8"/>
      <c r="FN210" s="8"/>
      <c r="FO210" s="8"/>
      <c r="FP210" s="8"/>
      <c r="FQ210" s="8"/>
      <c r="FR210" s="8"/>
      <c r="FS210" s="8"/>
      <c r="FT210" s="8"/>
      <c r="FU210" s="8"/>
      <c r="FV210" s="8"/>
      <c r="FW210" s="8"/>
      <c r="FX210" s="8"/>
      <c r="FY210" s="8"/>
      <c r="FZ210" s="8"/>
      <c r="GA210" s="8"/>
      <c r="GB210" s="8"/>
      <c r="GC210" s="8"/>
      <c r="GD210" s="8"/>
      <c r="GE210" s="8"/>
      <c r="GF210" s="8"/>
      <c r="GG210" s="8"/>
      <c r="GH210" s="8"/>
      <c r="GI210" s="8"/>
      <c r="GJ210" s="8"/>
      <c r="GK210" s="8"/>
      <c r="GL210" s="8"/>
      <c r="GM210" s="8"/>
      <c r="GN210" s="8"/>
      <c r="GO210" s="8"/>
      <c r="GP210" s="8"/>
      <c r="GQ210" s="8"/>
      <c r="GR210" s="8"/>
      <c r="GS210" s="8"/>
      <c r="GT210" s="8"/>
      <c r="GU210" s="8"/>
      <c r="GV210" s="8"/>
      <c r="GW210" s="8"/>
      <c r="GX210" s="8"/>
      <c r="GY210" s="8"/>
      <c r="GZ210" s="8"/>
      <c r="HA210" s="8"/>
      <c r="HB210" s="8"/>
      <c r="HC210" s="8"/>
      <c r="HD210" s="8"/>
      <c r="HE210" s="8"/>
      <c r="HF210" s="8"/>
      <c r="HG210" s="8"/>
      <c r="HH210" s="8"/>
      <c r="HI210" s="8"/>
      <c r="HJ210" s="8"/>
      <c r="HK210" s="8"/>
      <c r="HL210" s="8"/>
      <c r="HM210" s="8"/>
      <c r="HN210" s="8"/>
      <c r="HO210" s="8"/>
      <c r="HP210" s="8"/>
      <c r="HQ210" s="8"/>
      <c r="HR210" s="8"/>
      <c r="HS210" s="8"/>
      <c r="HT210" s="8"/>
      <c r="HU210" s="8"/>
      <c r="HV210" s="8"/>
      <c r="HW210" s="8"/>
      <c r="HX210" s="8"/>
      <c r="HY210" s="8"/>
      <c r="HZ210" s="8"/>
      <c r="IA210" s="8"/>
      <c r="IB210" s="8"/>
      <c r="IC210" s="8"/>
      <c r="ID210" s="8"/>
      <c r="IE210" s="8"/>
      <c r="IF210" s="8"/>
      <c r="IG210" s="8"/>
      <c r="IH210" s="8"/>
      <c r="II210" s="8"/>
      <c r="IJ210" s="8"/>
      <c r="IK210" s="8"/>
      <c r="IL210" s="8"/>
      <c r="IM210" s="8"/>
    </row>
    <row r="211" spans="1:247" x14ac:dyDescent="0.25">
      <c r="A211" s="4">
        <v>8231</v>
      </c>
      <c r="B211" s="9" t="s">
        <v>224</v>
      </c>
      <c r="C211" s="10" t="s">
        <v>3070</v>
      </c>
      <c r="D211" s="1721" t="s">
        <v>3060</v>
      </c>
      <c r="E211" s="1728"/>
      <c r="F211" s="1723">
        <f t="shared" si="58"/>
        <v>1.0209999999999999</v>
      </c>
      <c r="G211" s="1729"/>
      <c r="H211" s="1728"/>
      <c r="I211" s="1730"/>
      <c r="J211" s="1730"/>
      <c r="K211" s="1730"/>
      <c r="L211" s="1730"/>
      <c r="M211" s="1730"/>
      <c r="N211" s="1729"/>
      <c r="O211" s="1731"/>
      <c r="P211" s="1728">
        <f t="shared" si="60"/>
        <v>1.032</v>
      </c>
      <c r="Q211" s="1729">
        <f t="shared" si="61"/>
        <v>1.0349999999999999</v>
      </c>
      <c r="R211" s="1732">
        <f t="shared" si="59"/>
        <v>1.0905505199999999</v>
      </c>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c r="CA211" s="8"/>
      <c r="CB211" s="8"/>
      <c r="CC211" s="8"/>
      <c r="CD211" s="8"/>
      <c r="CE211" s="8"/>
      <c r="CF211" s="8"/>
      <c r="CG211" s="8"/>
      <c r="CH211" s="8"/>
      <c r="CI211" s="8"/>
      <c r="CJ211" s="8"/>
      <c r="CK211" s="8"/>
      <c r="CL211" s="8"/>
      <c r="CM211" s="8"/>
      <c r="CN211" s="8"/>
      <c r="CO211" s="8"/>
      <c r="CP211" s="8"/>
      <c r="CQ211" s="8"/>
      <c r="CR211" s="8"/>
      <c r="CS211" s="8"/>
      <c r="CT211" s="8"/>
      <c r="CU211" s="8"/>
      <c r="CV211" s="8"/>
      <c r="CW211" s="8"/>
      <c r="CX211" s="8"/>
      <c r="CY211" s="8"/>
      <c r="CZ211" s="8"/>
      <c r="DA211" s="8"/>
      <c r="DB211" s="8"/>
      <c r="DC211" s="8"/>
      <c r="DD211" s="8"/>
      <c r="DE211" s="8"/>
      <c r="DF211" s="8"/>
      <c r="DG211" s="8"/>
      <c r="DH211" s="8"/>
      <c r="DI211" s="8"/>
      <c r="DJ211" s="8"/>
      <c r="DK211" s="8"/>
      <c r="DL211" s="8"/>
      <c r="DM211" s="8"/>
      <c r="DN211" s="8"/>
      <c r="DO211" s="8"/>
      <c r="DP211" s="8"/>
      <c r="DQ211" s="8"/>
      <c r="DR211" s="8"/>
      <c r="DS211" s="8"/>
      <c r="DT211" s="8"/>
      <c r="DU211" s="8"/>
      <c r="DV211" s="8"/>
      <c r="DW211" s="8"/>
      <c r="DX211" s="8"/>
      <c r="DY211" s="8"/>
      <c r="DZ211" s="8"/>
      <c r="EA211" s="8"/>
      <c r="EB211" s="8"/>
      <c r="EC211" s="8"/>
      <c r="ED211" s="8"/>
      <c r="EE211" s="8"/>
      <c r="EF211" s="8"/>
      <c r="EG211" s="8"/>
      <c r="EH211" s="8"/>
      <c r="EI211" s="8"/>
      <c r="EJ211" s="8"/>
      <c r="EK211" s="8"/>
      <c r="EL211" s="8"/>
      <c r="EM211" s="8"/>
      <c r="EN211" s="8"/>
      <c r="EO211" s="8"/>
      <c r="EP211" s="8"/>
      <c r="EQ211" s="8"/>
      <c r="ER211" s="8"/>
      <c r="ES211" s="8"/>
      <c r="ET211" s="8"/>
      <c r="EU211" s="8"/>
      <c r="EV211" s="8"/>
      <c r="EW211" s="8"/>
      <c r="EX211" s="8"/>
      <c r="EY211" s="8"/>
      <c r="EZ211" s="8"/>
      <c r="FA211" s="8"/>
      <c r="FB211" s="8"/>
      <c r="FC211" s="8"/>
      <c r="FD211" s="8"/>
      <c r="FE211" s="8"/>
      <c r="FF211" s="8"/>
      <c r="FG211" s="8"/>
      <c r="FH211" s="8"/>
      <c r="FI211" s="8"/>
      <c r="FJ211" s="8"/>
      <c r="FK211" s="8"/>
      <c r="FL211" s="8"/>
      <c r="FM211" s="8"/>
      <c r="FN211" s="8"/>
      <c r="FO211" s="8"/>
      <c r="FP211" s="8"/>
      <c r="FQ211" s="8"/>
      <c r="FR211" s="8"/>
      <c r="FS211" s="8"/>
      <c r="FT211" s="8"/>
      <c r="FU211" s="8"/>
      <c r="FV211" s="8"/>
      <c r="FW211" s="8"/>
      <c r="FX211" s="8"/>
      <c r="FY211" s="8"/>
      <c r="FZ211" s="8"/>
      <c r="GA211" s="8"/>
      <c r="GB211" s="8"/>
      <c r="GC211" s="8"/>
      <c r="GD211" s="8"/>
      <c r="GE211" s="8"/>
      <c r="GF211" s="8"/>
      <c r="GG211" s="8"/>
      <c r="GH211" s="8"/>
      <c r="GI211" s="8"/>
      <c r="GJ211" s="8"/>
      <c r="GK211" s="8"/>
      <c r="GL211" s="8"/>
      <c r="GM211" s="8"/>
      <c r="GN211" s="8"/>
      <c r="GO211" s="8"/>
      <c r="GP211" s="8"/>
      <c r="GQ211" s="8"/>
      <c r="GR211" s="8"/>
      <c r="GS211" s="8"/>
      <c r="GT211" s="8"/>
      <c r="GU211" s="8"/>
      <c r="GV211" s="8"/>
      <c r="GW211" s="8"/>
      <c r="GX211" s="8"/>
      <c r="GY211" s="8"/>
      <c r="GZ211" s="8"/>
      <c r="HA211" s="8"/>
      <c r="HB211" s="8"/>
      <c r="HC211" s="8"/>
      <c r="HD211" s="8"/>
      <c r="HE211" s="8"/>
      <c r="HF211" s="8"/>
      <c r="HG211" s="8"/>
      <c r="HH211" s="8"/>
      <c r="HI211" s="8"/>
      <c r="HJ211" s="8"/>
      <c r="HK211" s="8"/>
      <c r="HL211" s="8"/>
      <c r="HM211" s="8"/>
      <c r="HN211" s="8"/>
      <c r="HO211" s="8"/>
      <c r="HP211" s="8"/>
      <c r="HQ211" s="8"/>
      <c r="HR211" s="8"/>
      <c r="HS211" s="8"/>
      <c r="HT211" s="8"/>
      <c r="HU211" s="8"/>
      <c r="HV211" s="8"/>
      <c r="HW211" s="8"/>
      <c r="HX211" s="8"/>
      <c r="HY211" s="8"/>
      <c r="HZ211" s="8"/>
      <c r="IA211" s="8"/>
      <c r="IB211" s="8"/>
      <c r="IC211" s="8"/>
      <c r="ID211" s="8"/>
      <c r="IE211" s="8"/>
      <c r="IF211" s="8"/>
      <c r="IG211" s="8"/>
      <c r="IH211" s="8"/>
      <c r="II211" s="8"/>
      <c r="IJ211" s="8"/>
      <c r="IK211" s="8"/>
      <c r="IL211" s="8"/>
      <c r="IM211" s="8"/>
    </row>
    <row r="212" spans="1:247" x14ac:dyDescent="0.25">
      <c r="A212" s="4">
        <v>8232</v>
      </c>
      <c r="B212" s="9" t="s">
        <v>225</v>
      </c>
      <c r="C212" s="10" t="s">
        <v>11</v>
      </c>
      <c r="D212" s="1721" t="s">
        <v>3060</v>
      </c>
      <c r="E212" s="1728"/>
      <c r="F212" s="1723">
        <f t="shared" si="58"/>
        <v>1.0209999999999999</v>
      </c>
      <c r="G212" s="1729"/>
      <c r="H212" s="1728"/>
      <c r="I212" s="1730"/>
      <c r="J212" s="1730"/>
      <c r="K212" s="1730"/>
      <c r="L212" s="1730"/>
      <c r="M212" s="1730"/>
      <c r="N212" s="1729"/>
      <c r="O212" s="1731"/>
      <c r="P212" s="1728">
        <f t="shared" si="60"/>
        <v>1.032</v>
      </c>
      <c r="Q212" s="1729">
        <f t="shared" si="61"/>
        <v>1.0349999999999999</v>
      </c>
      <c r="R212" s="1732">
        <f t="shared" si="59"/>
        <v>1.0905505199999999</v>
      </c>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c r="CA212" s="8"/>
      <c r="CB212" s="8"/>
      <c r="CC212" s="8"/>
      <c r="CD212" s="8"/>
      <c r="CE212" s="8"/>
      <c r="CF212" s="8"/>
      <c r="CG212" s="8"/>
      <c r="CH212" s="8"/>
      <c r="CI212" s="8"/>
      <c r="CJ212" s="8"/>
      <c r="CK212" s="8"/>
      <c r="CL212" s="8"/>
      <c r="CM212" s="8"/>
      <c r="CN212" s="8"/>
      <c r="CO212" s="8"/>
      <c r="CP212" s="8"/>
      <c r="CQ212" s="8"/>
      <c r="CR212" s="8"/>
      <c r="CS212" s="8"/>
      <c r="CT212" s="8"/>
      <c r="CU212" s="8"/>
      <c r="CV212" s="8"/>
      <c r="CW212" s="8"/>
      <c r="CX212" s="8"/>
      <c r="CY212" s="8"/>
      <c r="CZ212" s="8"/>
      <c r="DA212" s="8"/>
      <c r="DB212" s="8"/>
      <c r="DC212" s="8"/>
      <c r="DD212" s="8"/>
      <c r="DE212" s="8"/>
      <c r="DF212" s="8"/>
      <c r="DG212" s="8"/>
      <c r="DH212" s="8"/>
      <c r="DI212" s="8"/>
      <c r="DJ212" s="8"/>
      <c r="DK212" s="8"/>
      <c r="DL212" s="8"/>
      <c r="DM212" s="8"/>
      <c r="DN212" s="8"/>
      <c r="DO212" s="8"/>
      <c r="DP212" s="8"/>
      <c r="DQ212" s="8"/>
      <c r="DR212" s="8"/>
      <c r="DS212" s="8"/>
      <c r="DT212" s="8"/>
      <c r="DU212" s="8"/>
      <c r="DV212" s="8"/>
      <c r="DW212" s="8"/>
      <c r="DX212" s="8"/>
      <c r="DY212" s="8"/>
      <c r="DZ212" s="8"/>
      <c r="EA212" s="8"/>
      <c r="EB212" s="8"/>
      <c r="EC212" s="8"/>
      <c r="ED212" s="8"/>
      <c r="EE212" s="8"/>
      <c r="EF212" s="8"/>
      <c r="EG212" s="8"/>
      <c r="EH212" s="8"/>
      <c r="EI212" s="8"/>
      <c r="EJ212" s="8"/>
      <c r="EK212" s="8"/>
      <c r="EL212" s="8"/>
      <c r="EM212" s="8"/>
      <c r="EN212" s="8"/>
      <c r="EO212" s="8"/>
      <c r="EP212" s="8"/>
      <c r="EQ212" s="8"/>
      <c r="ER212" s="8"/>
      <c r="ES212" s="8"/>
      <c r="ET212" s="8"/>
      <c r="EU212" s="8"/>
      <c r="EV212" s="8"/>
      <c r="EW212" s="8"/>
      <c r="EX212" s="8"/>
      <c r="EY212" s="8"/>
      <c r="EZ212" s="8"/>
      <c r="FA212" s="8"/>
      <c r="FB212" s="8"/>
      <c r="FC212" s="8"/>
      <c r="FD212" s="8"/>
      <c r="FE212" s="8"/>
      <c r="FF212" s="8"/>
      <c r="FG212" s="8"/>
      <c r="FH212" s="8"/>
      <c r="FI212" s="8"/>
      <c r="FJ212" s="8"/>
      <c r="FK212" s="8"/>
      <c r="FL212" s="8"/>
      <c r="FM212" s="8"/>
      <c r="FN212" s="8"/>
      <c r="FO212" s="8"/>
      <c r="FP212" s="8"/>
      <c r="FQ212" s="8"/>
      <c r="FR212" s="8"/>
      <c r="FS212" s="8"/>
      <c r="FT212" s="8"/>
      <c r="FU212" s="8"/>
      <c r="FV212" s="8"/>
      <c r="FW212" s="8"/>
      <c r="FX212" s="8"/>
      <c r="FY212" s="8"/>
      <c r="FZ212" s="8"/>
      <c r="GA212" s="8"/>
      <c r="GB212" s="8"/>
      <c r="GC212" s="8"/>
      <c r="GD212" s="8"/>
      <c r="GE212" s="8"/>
      <c r="GF212" s="8"/>
      <c r="GG212" s="8"/>
      <c r="GH212" s="8"/>
      <c r="GI212" s="8"/>
      <c r="GJ212" s="8"/>
      <c r="GK212" s="8"/>
      <c r="GL212" s="8"/>
      <c r="GM212" s="8"/>
      <c r="GN212" s="8"/>
      <c r="GO212" s="8"/>
      <c r="GP212" s="8"/>
      <c r="GQ212" s="8"/>
      <c r="GR212" s="8"/>
      <c r="GS212" s="8"/>
      <c r="GT212" s="8"/>
      <c r="GU212" s="8"/>
      <c r="GV212" s="8"/>
      <c r="GW212" s="8"/>
      <c r="GX212" s="8"/>
      <c r="GY212" s="8"/>
      <c r="GZ212" s="8"/>
      <c r="HA212" s="8"/>
      <c r="HB212" s="8"/>
      <c r="HC212" s="8"/>
      <c r="HD212" s="8"/>
      <c r="HE212" s="8"/>
      <c r="HF212" s="8"/>
      <c r="HG212" s="8"/>
      <c r="HH212" s="8"/>
      <c r="HI212" s="8"/>
      <c r="HJ212" s="8"/>
      <c r="HK212" s="8"/>
      <c r="HL212" s="8"/>
      <c r="HM212" s="8"/>
      <c r="HN212" s="8"/>
      <c r="HO212" s="8"/>
      <c r="HP212" s="8"/>
      <c r="HQ212" s="8"/>
      <c r="HR212" s="8"/>
      <c r="HS212" s="8"/>
      <c r="HT212" s="8"/>
      <c r="HU212" s="8"/>
      <c r="HV212" s="8"/>
      <c r="HW212" s="8"/>
      <c r="HX212" s="8"/>
      <c r="HY212" s="8"/>
      <c r="HZ212" s="8"/>
      <c r="IA212" s="8"/>
      <c r="IB212" s="8"/>
      <c r="IC212" s="8"/>
      <c r="ID212" s="8"/>
      <c r="IE212" s="8"/>
      <c r="IF212" s="8"/>
      <c r="IG212" s="8"/>
      <c r="IH212" s="8"/>
      <c r="II212" s="8"/>
      <c r="IJ212" s="8"/>
      <c r="IK212" s="8"/>
      <c r="IL212" s="8"/>
      <c r="IM212" s="8"/>
    </row>
    <row r="213" spans="1:247" x14ac:dyDescent="0.25">
      <c r="A213" s="4">
        <v>8241</v>
      </c>
      <c r="B213" s="9" t="s">
        <v>226</v>
      </c>
      <c r="C213" s="10" t="s">
        <v>7</v>
      </c>
      <c r="D213" s="1721" t="s">
        <v>3061</v>
      </c>
      <c r="E213" s="1728"/>
      <c r="F213" s="1723">
        <f t="shared" si="58"/>
        <v>1.0209999999999999</v>
      </c>
      <c r="G213" s="1729"/>
      <c r="H213" s="1728"/>
      <c r="I213" s="1730"/>
      <c r="J213" s="1730"/>
      <c r="K213" s="1730"/>
      <c r="L213" s="1730"/>
      <c r="M213" s="1730"/>
      <c r="N213" s="1729"/>
      <c r="O213" s="1731"/>
      <c r="P213" s="1728">
        <f t="shared" si="60"/>
        <v>1.032</v>
      </c>
      <c r="Q213" s="1729">
        <f t="shared" si="61"/>
        <v>1.0349999999999999</v>
      </c>
      <c r="R213" s="1732">
        <f t="shared" si="59"/>
        <v>1.0905505199999999</v>
      </c>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c r="CA213" s="8"/>
      <c r="CB213" s="8"/>
      <c r="CC213" s="8"/>
      <c r="CD213" s="8"/>
      <c r="CE213" s="8"/>
      <c r="CF213" s="8"/>
      <c r="CG213" s="8"/>
      <c r="CH213" s="8"/>
      <c r="CI213" s="8"/>
      <c r="CJ213" s="8"/>
      <c r="CK213" s="8"/>
      <c r="CL213" s="8"/>
      <c r="CM213" s="8"/>
      <c r="CN213" s="8"/>
      <c r="CO213" s="8"/>
      <c r="CP213" s="8"/>
      <c r="CQ213" s="8"/>
      <c r="CR213" s="8"/>
      <c r="CS213" s="8"/>
      <c r="CT213" s="8"/>
      <c r="CU213" s="8"/>
      <c r="CV213" s="8"/>
      <c r="CW213" s="8"/>
      <c r="CX213" s="8"/>
      <c r="CY213" s="8"/>
      <c r="CZ213" s="8"/>
      <c r="DA213" s="8"/>
      <c r="DB213" s="8"/>
      <c r="DC213" s="8"/>
      <c r="DD213" s="8"/>
      <c r="DE213" s="8"/>
      <c r="DF213" s="8"/>
      <c r="DG213" s="8"/>
      <c r="DH213" s="8"/>
      <c r="DI213" s="8"/>
      <c r="DJ213" s="8"/>
      <c r="DK213" s="8"/>
      <c r="DL213" s="8"/>
      <c r="DM213" s="8"/>
      <c r="DN213" s="8"/>
      <c r="DO213" s="8"/>
      <c r="DP213" s="8"/>
      <c r="DQ213" s="8"/>
      <c r="DR213" s="8"/>
      <c r="DS213" s="8"/>
      <c r="DT213" s="8"/>
      <c r="DU213" s="8"/>
      <c r="DV213" s="8"/>
      <c r="DW213" s="8"/>
      <c r="DX213" s="8"/>
      <c r="DY213" s="8"/>
      <c r="DZ213" s="8"/>
      <c r="EA213" s="8"/>
      <c r="EB213" s="8"/>
      <c r="EC213" s="8"/>
      <c r="ED213" s="8"/>
      <c r="EE213" s="8"/>
      <c r="EF213" s="8"/>
      <c r="EG213" s="8"/>
      <c r="EH213" s="8"/>
      <c r="EI213" s="8"/>
      <c r="EJ213" s="8"/>
      <c r="EK213" s="8"/>
      <c r="EL213" s="8"/>
      <c r="EM213" s="8"/>
      <c r="EN213" s="8"/>
      <c r="EO213" s="8"/>
      <c r="EP213" s="8"/>
      <c r="EQ213" s="8"/>
      <c r="ER213" s="8"/>
      <c r="ES213" s="8"/>
      <c r="ET213" s="8"/>
      <c r="EU213" s="8"/>
      <c r="EV213" s="8"/>
      <c r="EW213" s="8"/>
      <c r="EX213" s="8"/>
      <c r="EY213" s="8"/>
      <c r="EZ213" s="8"/>
      <c r="FA213" s="8"/>
      <c r="FB213" s="8"/>
      <c r="FC213" s="8"/>
      <c r="FD213" s="8"/>
      <c r="FE213" s="8"/>
      <c r="FF213" s="8"/>
      <c r="FG213" s="8"/>
      <c r="FH213" s="8"/>
      <c r="FI213" s="8"/>
      <c r="FJ213" s="8"/>
      <c r="FK213" s="8"/>
      <c r="FL213" s="8"/>
      <c r="FM213" s="8"/>
      <c r="FN213" s="8"/>
      <c r="FO213" s="8"/>
      <c r="FP213" s="8"/>
      <c r="FQ213" s="8"/>
      <c r="FR213" s="8"/>
      <c r="FS213" s="8"/>
      <c r="FT213" s="8"/>
      <c r="FU213" s="8"/>
      <c r="FV213" s="8"/>
      <c r="FW213" s="8"/>
      <c r="FX213" s="8"/>
      <c r="FY213" s="8"/>
      <c r="FZ213" s="8"/>
      <c r="GA213" s="8"/>
      <c r="GB213" s="8"/>
      <c r="GC213" s="8"/>
      <c r="GD213" s="8"/>
      <c r="GE213" s="8"/>
      <c r="GF213" s="8"/>
      <c r="GG213" s="8"/>
      <c r="GH213" s="8"/>
      <c r="GI213" s="8"/>
      <c r="GJ213" s="8"/>
      <c r="GK213" s="8"/>
      <c r="GL213" s="8"/>
      <c r="GM213" s="8"/>
      <c r="GN213" s="8"/>
      <c r="GO213" s="8"/>
      <c r="GP213" s="8"/>
      <c r="GQ213" s="8"/>
      <c r="GR213" s="8"/>
      <c r="GS213" s="8"/>
      <c r="GT213" s="8"/>
      <c r="GU213" s="8"/>
      <c r="GV213" s="8"/>
      <c r="GW213" s="8"/>
      <c r="GX213" s="8"/>
      <c r="GY213" s="8"/>
      <c r="GZ213" s="8"/>
      <c r="HA213" s="8"/>
      <c r="HB213" s="8"/>
      <c r="HC213" s="8"/>
      <c r="HD213" s="8"/>
      <c r="HE213" s="8"/>
      <c r="HF213" s="8"/>
      <c r="HG213" s="8"/>
      <c r="HH213" s="8"/>
      <c r="HI213" s="8"/>
      <c r="HJ213" s="8"/>
      <c r="HK213" s="8"/>
      <c r="HL213" s="8"/>
      <c r="HM213" s="8"/>
      <c r="HN213" s="8"/>
      <c r="HO213" s="8"/>
      <c r="HP213" s="8"/>
      <c r="HQ213" s="8"/>
      <c r="HR213" s="8"/>
      <c r="HS213" s="8"/>
      <c r="HT213" s="8"/>
      <c r="HU213" s="8"/>
      <c r="HV213" s="8"/>
      <c r="HW213" s="8"/>
      <c r="HX213" s="8"/>
      <c r="HY213" s="8"/>
      <c r="HZ213" s="8"/>
      <c r="IA213" s="8"/>
      <c r="IB213" s="8"/>
      <c r="IC213" s="8"/>
      <c r="ID213" s="8"/>
      <c r="IE213" s="8"/>
      <c r="IF213" s="8"/>
      <c r="IG213" s="8"/>
      <c r="IH213" s="8"/>
      <c r="II213" s="8"/>
      <c r="IJ213" s="8"/>
      <c r="IK213" s="8"/>
      <c r="IL213" s="8"/>
      <c r="IM213" s="8"/>
    </row>
    <row r="214" spans="1:247" x14ac:dyDescent="0.25">
      <c r="A214" s="4">
        <v>8261</v>
      </c>
      <c r="B214" s="9" t="s">
        <v>227</v>
      </c>
      <c r="C214" s="10" t="s">
        <v>228</v>
      </c>
      <c r="D214" s="1721" t="s">
        <v>3060</v>
      </c>
      <c r="E214" s="1728"/>
      <c r="F214" s="1723">
        <f t="shared" si="58"/>
        <v>1.0209999999999999</v>
      </c>
      <c r="G214" s="1729"/>
      <c r="H214" s="1728"/>
      <c r="I214" s="1730"/>
      <c r="J214" s="1730"/>
      <c r="K214" s="1730"/>
      <c r="L214" s="1730"/>
      <c r="M214" s="1730"/>
      <c r="N214" s="1729"/>
      <c r="O214" s="1731"/>
      <c r="P214" s="1728">
        <f t="shared" si="60"/>
        <v>1.032</v>
      </c>
      <c r="Q214" s="1729">
        <f t="shared" si="61"/>
        <v>1.0349999999999999</v>
      </c>
      <c r="R214" s="1732">
        <f t="shared" si="59"/>
        <v>1.0905505199999999</v>
      </c>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c r="CA214" s="8"/>
      <c r="CB214" s="8"/>
      <c r="CC214" s="8"/>
      <c r="CD214" s="8"/>
      <c r="CE214" s="8"/>
      <c r="CF214" s="8"/>
      <c r="CG214" s="8"/>
      <c r="CH214" s="8"/>
      <c r="CI214" s="8"/>
      <c r="CJ214" s="8"/>
      <c r="CK214" s="8"/>
      <c r="CL214" s="8"/>
      <c r="CM214" s="8"/>
      <c r="CN214" s="8"/>
      <c r="CO214" s="8"/>
      <c r="CP214" s="8"/>
      <c r="CQ214" s="8"/>
      <c r="CR214" s="8"/>
      <c r="CS214" s="8"/>
      <c r="CT214" s="8"/>
      <c r="CU214" s="8"/>
      <c r="CV214" s="8"/>
      <c r="CW214" s="8"/>
      <c r="CX214" s="8"/>
      <c r="CY214" s="8"/>
      <c r="CZ214" s="8"/>
      <c r="DA214" s="8"/>
      <c r="DB214" s="8"/>
      <c r="DC214" s="8"/>
      <c r="DD214" s="8"/>
      <c r="DE214" s="8"/>
      <c r="DF214" s="8"/>
      <c r="DG214" s="8"/>
      <c r="DH214" s="8"/>
      <c r="DI214" s="8"/>
      <c r="DJ214" s="8"/>
      <c r="DK214" s="8"/>
      <c r="DL214" s="8"/>
      <c r="DM214" s="8"/>
      <c r="DN214" s="8"/>
      <c r="DO214" s="8"/>
      <c r="DP214" s="8"/>
      <c r="DQ214" s="8"/>
      <c r="DR214" s="8"/>
      <c r="DS214" s="8"/>
      <c r="DT214" s="8"/>
      <c r="DU214" s="8"/>
      <c r="DV214" s="8"/>
      <c r="DW214" s="8"/>
      <c r="DX214" s="8"/>
      <c r="DY214" s="8"/>
      <c r="DZ214" s="8"/>
      <c r="EA214" s="8"/>
      <c r="EB214" s="8"/>
      <c r="EC214" s="8"/>
      <c r="ED214" s="8"/>
      <c r="EE214" s="8"/>
      <c r="EF214" s="8"/>
      <c r="EG214" s="8"/>
      <c r="EH214" s="8"/>
      <c r="EI214" s="8"/>
      <c r="EJ214" s="8"/>
      <c r="EK214" s="8"/>
      <c r="EL214" s="8"/>
      <c r="EM214" s="8"/>
      <c r="EN214" s="8"/>
      <c r="EO214" s="8"/>
      <c r="EP214" s="8"/>
      <c r="EQ214" s="8"/>
      <c r="ER214" s="8"/>
      <c r="ES214" s="8"/>
      <c r="ET214" s="8"/>
      <c r="EU214" s="8"/>
      <c r="EV214" s="8"/>
      <c r="EW214" s="8"/>
      <c r="EX214" s="8"/>
      <c r="EY214" s="8"/>
      <c r="EZ214" s="8"/>
      <c r="FA214" s="8"/>
      <c r="FB214" s="8"/>
      <c r="FC214" s="8"/>
      <c r="FD214" s="8"/>
      <c r="FE214" s="8"/>
      <c r="FF214" s="8"/>
      <c r="FG214" s="8"/>
      <c r="FH214" s="8"/>
      <c r="FI214" s="8"/>
      <c r="FJ214" s="8"/>
      <c r="FK214" s="8"/>
      <c r="FL214" s="8"/>
      <c r="FM214" s="8"/>
      <c r="FN214" s="8"/>
      <c r="FO214" s="8"/>
      <c r="FP214" s="8"/>
      <c r="FQ214" s="8"/>
      <c r="FR214" s="8"/>
      <c r="FS214" s="8"/>
      <c r="FT214" s="8"/>
      <c r="FU214" s="8"/>
      <c r="FV214" s="8"/>
      <c r="FW214" s="8"/>
      <c r="FX214" s="8"/>
      <c r="FY214" s="8"/>
      <c r="FZ214" s="8"/>
      <c r="GA214" s="8"/>
      <c r="GB214" s="8"/>
      <c r="GC214" s="8"/>
      <c r="GD214" s="8"/>
      <c r="GE214" s="8"/>
      <c r="GF214" s="8"/>
      <c r="GG214" s="8"/>
      <c r="GH214" s="8"/>
      <c r="GI214" s="8"/>
      <c r="GJ214" s="8"/>
      <c r="GK214" s="8"/>
      <c r="GL214" s="8"/>
      <c r="GM214" s="8"/>
      <c r="GN214" s="8"/>
      <c r="GO214" s="8"/>
      <c r="GP214" s="8"/>
      <c r="GQ214" s="8"/>
      <c r="GR214" s="8"/>
      <c r="GS214" s="8"/>
      <c r="GT214" s="8"/>
      <c r="GU214" s="8"/>
      <c r="GV214" s="8"/>
      <c r="GW214" s="8"/>
      <c r="GX214" s="8"/>
      <c r="GY214" s="8"/>
      <c r="GZ214" s="8"/>
      <c r="HA214" s="8"/>
      <c r="HB214" s="8"/>
      <c r="HC214" s="8"/>
      <c r="HD214" s="8"/>
      <c r="HE214" s="8"/>
      <c r="HF214" s="8"/>
      <c r="HG214" s="8"/>
      <c r="HH214" s="8"/>
      <c r="HI214" s="8"/>
      <c r="HJ214" s="8"/>
      <c r="HK214" s="8"/>
      <c r="HL214" s="8"/>
      <c r="HM214" s="8"/>
      <c r="HN214" s="8"/>
      <c r="HO214" s="8"/>
      <c r="HP214" s="8"/>
      <c r="HQ214" s="8"/>
      <c r="HR214" s="8"/>
      <c r="HS214" s="8"/>
      <c r="HT214" s="8"/>
      <c r="HU214" s="8"/>
      <c r="HV214" s="8"/>
      <c r="HW214" s="8"/>
      <c r="HX214" s="8"/>
      <c r="HY214" s="8"/>
      <c r="HZ214" s="8"/>
      <c r="IA214" s="8"/>
      <c r="IB214" s="8"/>
      <c r="IC214" s="8"/>
      <c r="ID214" s="8"/>
      <c r="IE214" s="8"/>
      <c r="IF214" s="8"/>
      <c r="IG214" s="8"/>
      <c r="IH214" s="8"/>
      <c r="II214" s="8"/>
      <c r="IJ214" s="8"/>
      <c r="IK214" s="8"/>
      <c r="IL214" s="8"/>
      <c r="IM214" s="8"/>
    </row>
    <row r="215" spans="1:247" x14ac:dyDescent="0.25">
      <c r="A215" s="4">
        <v>8271</v>
      </c>
      <c r="B215" s="9" t="s">
        <v>229</v>
      </c>
      <c r="C215" s="10" t="s">
        <v>7</v>
      </c>
      <c r="D215" s="1721" t="s">
        <v>3061</v>
      </c>
      <c r="E215" s="1728"/>
      <c r="F215" s="1723">
        <f t="shared" si="58"/>
        <v>1.0209999999999999</v>
      </c>
      <c r="G215" s="1729"/>
      <c r="H215" s="1728"/>
      <c r="I215" s="1730"/>
      <c r="J215" s="1730"/>
      <c r="K215" s="1730"/>
      <c r="L215" s="1730"/>
      <c r="M215" s="1730"/>
      <c r="N215" s="1729"/>
      <c r="O215" s="1731"/>
      <c r="P215" s="1728">
        <f t="shared" si="60"/>
        <v>1.032</v>
      </c>
      <c r="Q215" s="1729">
        <f t="shared" si="61"/>
        <v>1.0349999999999999</v>
      </c>
      <c r="R215" s="1732">
        <f t="shared" si="59"/>
        <v>1.0905505199999999</v>
      </c>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c r="CA215" s="8"/>
      <c r="CB215" s="8"/>
      <c r="CC215" s="8"/>
      <c r="CD215" s="8"/>
      <c r="CE215" s="8"/>
      <c r="CF215" s="8"/>
      <c r="CG215" s="8"/>
      <c r="CH215" s="8"/>
      <c r="CI215" s="8"/>
      <c r="CJ215" s="8"/>
      <c r="CK215" s="8"/>
      <c r="CL215" s="8"/>
      <c r="CM215" s="8"/>
      <c r="CN215" s="8"/>
      <c r="CO215" s="8"/>
      <c r="CP215" s="8"/>
      <c r="CQ215" s="8"/>
      <c r="CR215" s="8"/>
      <c r="CS215" s="8"/>
      <c r="CT215" s="8"/>
      <c r="CU215" s="8"/>
      <c r="CV215" s="8"/>
      <c r="CW215" s="8"/>
      <c r="CX215" s="8"/>
      <c r="CY215" s="8"/>
      <c r="CZ215" s="8"/>
      <c r="DA215" s="8"/>
      <c r="DB215" s="8"/>
      <c r="DC215" s="8"/>
      <c r="DD215" s="8"/>
      <c r="DE215" s="8"/>
      <c r="DF215" s="8"/>
      <c r="DG215" s="8"/>
      <c r="DH215" s="8"/>
      <c r="DI215" s="8"/>
      <c r="DJ215" s="8"/>
      <c r="DK215" s="8"/>
      <c r="DL215" s="8"/>
      <c r="DM215" s="8"/>
      <c r="DN215" s="8"/>
      <c r="DO215" s="8"/>
      <c r="DP215" s="8"/>
      <c r="DQ215" s="8"/>
      <c r="DR215" s="8"/>
      <c r="DS215" s="8"/>
      <c r="DT215" s="8"/>
      <c r="DU215" s="8"/>
      <c r="DV215" s="8"/>
      <c r="DW215" s="8"/>
      <c r="DX215" s="8"/>
      <c r="DY215" s="8"/>
      <c r="DZ215" s="8"/>
      <c r="EA215" s="8"/>
      <c r="EB215" s="8"/>
      <c r="EC215" s="8"/>
      <c r="ED215" s="8"/>
      <c r="EE215" s="8"/>
      <c r="EF215" s="8"/>
      <c r="EG215" s="8"/>
      <c r="EH215" s="8"/>
      <c r="EI215" s="8"/>
      <c r="EJ215" s="8"/>
      <c r="EK215" s="8"/>
      <c r="EL215" s="8"/>
      <c r="EM215" s="8"/>
      <c r="EN215" s="8"/>
      <c r="EO215" s="8"/>
      <c r="EP215" s="8"/>
      <c r="EQ215" s="8"/>
      <c r="ER215" s="8"/>
      <c r="ES215" s="8"/>
      <c r="ET215" s="8"/>
      <c r="EU215" s="8"/>
      <c r="EV215" s="8"/>
      <c r="EW215" s="8"/>
      <c r="EX215" s="8"/>
      <c r="EY215" s="8"/>
      <c r="EZ215" s="8"/>
      <c r="FA215" s="8"/>
      <c r="FB215" s="8"/>
      <c r="FC215" s="8"/>
      <c r="FD215" s="8"/>
      <c r="FE215" s="8"/>
      <c r="FF215" s="8"/>
      <c r="FG215" s="8"/>
      <c r="FH215" s="8"/>
      <c r="FI215" s="8"/>
      <c r="FJ215" s="8"/>
      <c r="FK215" s="8"/>
      <c r="FL215" s="8"/>
      <c r="FM215" s="8"/>
      <c r="FN215" s="8"/>
      <c r="FO215" s="8"/>
      <c r="FP215" s="8"/>
      <c r="FQ215" s="8"/>
      <c r="FR215" s="8"/>
      <c r="FS215" s="8"/>
      <c r="FT215" s="8"/>
      <c r="FU215" s="8"/>
      <c r="FV215" s="8"/>
      <c r="FW215" s="8"/>
      <c r="FX215" s="8"/>
      <c r="FY215" s="8"/>
      <c r="FZ215" s="8"/>
      <c r="GA215" s="8"/>
      <c r="GB215" s="8"/>
      <c r="GC215" s="8"/>
      <c r="GD215" s="8"/>
      <c r="GE215" s="8"/>
      <c r="GF215" s="8"/>
      <c r="GG215" s="8"/>
      <c r="GH215" s="8"/>
      <c r="GI215" s="8"/>
      <c r="GJ215" s="8"/>
      <c r="GK215" s="8"/>
      <c r="GL215" s="8"/>
      <c r="GM215" s="8"/>
      <c r="GN215" s="8"/>
      <c r="GO215" s="8"/>
      <c r="GP215" s="8"/>
      <c r="GQ215" s="8"/>
      <c r="GR215" s="8"/>
      <c r="GS215" s="8"/>
      <c r="GT215" s="8"/>
      <c r="GU215" s="8"/>
      <c r="GV215" s="8"/>
      <c r="GW215" s="8"/>
      <c r="GX215" s="8"/>
      <c r="GY215" s="8"/>
      <c r="GZ215" s="8"/>
      <c r="HA215" s="8"/>
      <c r="HB215" s="8"/>
      <c r="HC215" s="8"/>
      <c r="HD215" s="8"/>
      <c r="HE215" s="8"/>
      <c r="HF215" s="8"/>
      <c r="HG215" s="8"/>
      <c r="HH215" s="8"/>
      <c r="HI215" s="8"/>
      <c r="HJ215" s="8"/>
      <c r="HK215" s="8"/>
      <c r="HL215" s="8"/>
      <c r="HM215" s="8"/>
      <c r="HN215" s="8"/>
      <c r="HO215" s="8"/>
      <c r="HP215" s="8"/>
      <c r="HQ215" s="8"/>
      <c r="HR215" s="8"/>
      <c r="HS215" s="8"/>
      <c r="HT215" s="8"/>
      <c r="HU215" s="8"/>
      <c r="HV215" s="8"/>
      <c r="HW215" s="8"/>
      <c r="HX215" s="8"/>
      <c r="HY215" s="8"/>
      <c r="HZ215" s="8"/>
      <c r="IA215" s="8"/>
      <c r="IB215" s="8"/>
      <c r="IC215" s="8"/>
      <c r="ID215" s="8"/>
      <c r="IE215" s="8"/>
      <c r="IF215" s="8"/>
      <c r="IG215" s="8"/>
      <c r="IH215" s="8"/>
      <c r="II215" s="8"/>
      <c r="IJ215" s="8"/>
      <c r="IK215" s="8"/>
      <c r="IL215" s="8"/>
      <c r="IM215" s="8"/>
    </row>
    <row r="216" spans="1:247" x14ac:dyDescent="0.25">
      <c r="A216" s="4">
        <v>8311</v>
      </c>
      <c r="B216" s="9" t="s">
        <v>230</v>
      </c>
      <c r="C216" s="10" t="s">
        <v>231</v>
      </c>
      <c r="D216" s="1721" t="s">
        <v>3060</v>
      </c>
      <c r="E216" s="1728"/>
      <c r="F216" s="1723">
        <f t="shared" si="58"/>
        <v>1.0209999999999999</v>
      </c>
      <c r="G216" s="1729">
        <f>+$G$3</f>
        <v>1.0269999999999999</v>
      </c>
      <c r="H216" s="1728"/>
      <c r="I216" s="1730"/>
      <c r="J216" s="1730"/>
      <c r="K216" s="1730"/>
      <c r="L216" s="1730"/>
      <c r="M216" s="1730"/>
      <c r="N216" s="1729"/>
      <c r="O216" s="1731"/>
      <c r="P216" s="1728">
        <f t="shared" si="60"/>
        <v>1.032</v>
      </c>
      <c r="Q216" s="1729">
        <f t="shared" si="61"/>
        <v>1.0349999999999999</v>
      </c>
      <c r="R216" s="1732">
        <f t="shared" si="59"/>
        <v>1.1199953840399997</v>
      </c>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c r="CA216" s="8"/>
      <c r="CB216" s="8"/>
      <c r="CC216" s="8"/>
      <c r="CD216" s="8"/>
      <c r="CE216" s="8"/>
      <c r="CF216" s="8"/>
      <c r="CG216" s="8"/>
      <c r="CH216" s="8"/>
      <c r="CI216" s="8"/>
      <c r="CJ216" s="8"/>
      <c r="CK216" s="8"/>
      <c r="CL216" s="8"/>
      <c r="CM216" s="8"/>
      <c r="CN216" s="8"/>
      <c r="CO216" s="8"/>
      <c r="CP216" s="8"/>
      <c r="CQ216" s="8"/>
      <c r="CR216" s="8"/>
      <c r="CS216" s="8"/>
      <c r="CT216" s="8"/>
      <c r="CU216" s="8"/>
      <c r="CV216" s="8"/>
      <c r="CW216" s="8"/>
      <c r="CX216" s="8"/>
      <c r="CY216" s="8"/>
      <c r="CZ216" s="8"/>
      <c r="DA216" s="8"/>
      <c r="DB216" s="8"/>
      <c r="DC216" s="8"/>
      <c r="DD216" s="8"/>
      <c r="DE216" s="8"/>
      <c r="DF216" s="8"/>
      <c r="DG216" s="8"/>
      <c r="DH216" s="8"/>
      <c r="DI216" s="8"/>
      <c r="DJ216" s="8"/>
      <c r="DK216" s="8"/>
      <c r="DL216" s="8"/>
      <c r="DM216" s="8"/>
      <c r="DN216" s="8"/>
      <c r="DO216" s="8"/>
      <c r="DP216" s="8"/>
      <c r="DQ216" s="8"/>
      <c r="DR216" s="8"/>
      <c r="DS216" s="8"/>
      <c r="DT216" s="8"/>
      <c r="DU216" s="8"/>
      <c r="DV216" s="8"/>
      <c r="DW216" s="8"/>
      <c r="DX216" s="8"/>
      <c r="DY216" s="8"/>
      <c r="DZ216" s="8"/>
      <c r="EA216" s="8"/>
      <c r="EB216" s="8"/>
      <c r="EC216" s="8"/>
      <c r="ED216" s="8"/>
      <c r="EE216" s="8"/>
      <c r="EF216" s="8"/>
      <c r="EG216" s="8"/>
      <c r="EH216" s="8"/>
      <c r="EI216" s="8"/>
      <c r="EJ216" s="8"/>
      <c r="EK216" s="8"/>
      <c r="EL216" s="8"/>
      <c r="EM216" s="8"/>
      <c r="EN216" s="8"/>
      <c r="EO216" s="8"/>
      <c r="EP216" s="8"/>
      <c r="EQ216" s="8"/>
      <c r="ER216" s="8"/>
      <c r="ES216" s="8"/>
      <c r="ET216" s="8"/>
      <c r="EU216" s="8"/>
      <c r="EV216" s="8"/>
      <c r="EW216" s="8"/>
      <c r="EX216" s="8"/>
      <c r="EY216" s="8"/>
      <c r="EZ216" s="8"/>
      <c r="FA216" s="8"/>
      <c r="FB216" s="8"/>
      <c r="FC216" s="8"/>
      <c r="FD216" s="8"/>
      <c r="FE216" s="8"/>
      <c r="FF216" s="8"/>
      <c r="FG216" s="8"/>
      <c r="FH216" s="8"/>
      <c r="FI216" s="8"/>
      <c r="FJ216" s="8"/>
      <c r="FK216" s="8"/>
      <c r="FL216" s="8"/>
      <c r="FM216" s="8"/>
      <c r="FN216" s="8"/>
      <c r="FO216" s="8"/>
      <c r="FP216" s="8"/>
      <c r="FQ216" s="8"/>
      <c r="FR216" s="8"/>
      <c r="FS216" s="8"/>
      <c r="FT216" s="8"/>
      <c r="FU216" s="8"/>
      <c r="FV216" s="8"/>
      <c r="FW216" s="8"/>
      <c r="FX216" s="8"/>
      <c r="FY216" s="8"/>
      <c r="FZ216" s="8"/>
      <c r="GA216" s="8"/>
      <c r="GB216" s="8"/>
      <c r="GC216" s="8"/>
      <c r="GD216" s="8"/>
      <c r="GE216" s="8"/>
      <c r="GF216" s="8"/>
      <c r="GG216" s="8"/>
      <c r="GH216" s="8"/>
      <c r="GI216" s="8"/>
      <c r="GJ216" s="8"/>
      <c r="GK216" s="8"/>
      <c r="GL216" s="8"/>
      <c r="GM216" s="8"/>
      <c r="GN216" s="8"/>
      <c r="GO216" s="8"/>
      <c r="GP216" s="8"/>
      <c r="GQ216" s="8"/>
      <c r="GR216" s="8"/>
      <c r="GS216" s="8"/>
      <c r="GT216" s="8"/>
      <c r="GU216" s="8"/>
      <c r="GV216" s="8"/>
      <c r="GW216" s="8"/>
      <c r="GX216" s="8"/>
      <c r="GY216" s="8"/>
      <c r="GZ216" s="8"/>
      <c r="HA216" s="8"/>
      <c r="HB216" s="8"/>
      <c r="HC216" s="8"/>
      <c r="HD216" s="8"/>
      <c r="HE216" s="8"/>
      <c r="HF216" s="8"/>
      <c r="HG216" s="8"/>
      <c r="HH216" s="8"/>
      <c r="HI216" s="8"/>
      <c r="HJ216" s="8"/>
      <c r="HK216" s="8"/>
      <c r="HL216" s="8"/>
      <c r="HM216" s="8"/>
      <c r="HN216" s="8"/>
      <c r="HO216" s="8"/>
      <c r="HP216" s="8"/>
      <c r="HQ216" s="8"/>
      <c r="HR216" s="8"/>
      <c r="HS216" s="8"/>
      <c r="HT216" s="8"/>
      <c r="HU216" s="8"/>
      <c r="HV216" s="8"/>
      <c r="HW216" s="8"/>
      <c r="HX216" s="8"/>
      <c r="HY216" s="8"/>
      <c r="HZ216" s="8"/>
      <c r="IA216" s="8"/>
      <c r="IB216" s="8"/>
      <c r="IC216" s="8"/>
      <c r="ID216" s="8"/>
      <c r="IE216" s="8"/>
      <c r="IF216" s="8"/>
      <c r="IG216" s="8"/>
      <c r="IH216" s="8"/>
      <c r="II216" s="8"/>
      <c r="IJ216" s="8"/>
      <c r="IK216" s="8"/>
      <c r="IL216" s="8"/>
      <c r="IM216" s="8"/>
    </row>
    <row r="217" spans="1:247" x14ac:dyDescent="0.25">
      <c r="A217" s="4">
        <v>8312</v>
      </c>
      <c r="B217" s="9" t="s">
        <v>232</v>
      </c>
      <c r="C217" s="10" t="s">
        <v>231</v>
      </c>
      <c r="D217" s="1721" t="s">
        <v>3060</v>
      </c>
      <c r="E217" s="1728"/>
      <c r="F217" s="1723">
        <f t="shared" si="58"/>
        <v>1.0209999999999999</v>
      </c>
      <c r="G217" s="1729">
        <f>+$G$3</f>
        <v>1.0269999999999999</v>
      </c>
      <c r="H217" s="1728"/>
      <c r="I217" s="1730"/>
      <c r="J217" s="1730"/>
      <c r="K217" s="1730"/>
      <c r="L217" s="1730"/>
      <c r="M217" s="1730"/>
      <c r="N217" s="1729"/>
      <c r="O217" s="1731"/>
      <c r="P217" s="1728">
        <f t="shared" si="60"/>
        <v>1.032</v>
      </c>
      <c r="Q217" s="1729">
        <f t="shared" si="61"/>
        <v>1.0349999999999999</v>
      </c>
      <c r="R217" s="1732">
        <f t="shared" si="59"/>
        <v>1.1199953840399997</v>
      </c>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c r="CA217" s="8"/>
      <c r="CB217" s="8"/>
      <c r="CC217" s="8"/>
      <c r="CD217" s="8"/>
      <c r="CE217" s="8"/>
      <c r="CF217" s="8"/>
      <c r="CG217" s="8"/>
      <c r="CH217" s="8"/>
      <c r="CI217" s="8"/>
      <c r="CJ217" s="8"/>
      <c r="CK217" s="8"/>
      <c r="CL217" s="8"/>
      <c r="CM217" s="8"/>
      <c r="CN217" s="8"/>
      <c r="CO217" s="8"/>
      <c r="CP217" s="8"/>
      <c r="CQ217" s="8"/>
      <c r="CR217" s="8"/>
      <c r="CS217" s="8"/>
      <c r="CT217" s="8"/>
      <c r="CU217" s="8"/>
      <c r="CV217" s="8"/>
      <c r="CW217" s="8"/>
      <c r="CX217" s="8"/>
      <c r="CY217" s="8"/>
      <c r="CZ217" s="8"/>
      <c r="DA217" s="8"/>
      <c r="DB217" s="8"/>
      <c r="DC217" s="8"/>
      <c r="DD217" s="8"/>
      <c r="DE217" s="8"/>
      <c r="DF217" s="8"/>
      <c r="DG217" s="8"/>
      <c r="DH217" s="8"/>
      <c r="DI217" s="8"/>
      <c r="DJ217" s="8"/>
      <c r="DK217" s="8"/>
      <c r="DL217" s="8"/>
      <c r="DM217" s="8"/>
      <c r="DN217" s="8"/>
      <c r="DO217" s="8"/>
      <c r="DP217" s="8"/>
      <c r="DQ217" s="8"/>
      <c r="DR217" s="8"/>
      <c r="DS217" s="8"/>
      <c r="DT217" s="8"/>
      <c r="DU217" s="8"/>
      <c r="DV217" s="8"/>
      <c r="DW217" s="8"/>
      <c r="DX217" s="8"/>
      <c r="DY217" s="8"/>
      <c r="DZ217" s="8"/>
      <c r="EA217" s="8"/>
      <c r="EB217" s="8"/>
      <c r="EC217" s="8"/>
      <c r="ED217" s="8"/>
      <c r="EE217" s="8"/>
      <c r="EF217" s="8"/>
      <c r="EG217" s="8"/>
      <c r="EH217" s="8"/>
      <c r="EI217" s="8"/>
      <c r="EJ217" s="8"/>
      <c r="EK217" s="8"/>
      <c r="EL217" s="8"/>
      <c r="EM217" s="8"/>
      <c r="EN217" s="8"/>
      <c r="EO217" s="8"/>
      <c r="EP217" s="8"/>
      <c r="EQ217" s="8"/>
      <c r="ER217" s="8"/>
      <c r="ES217" s="8"/>
      <c r="ET217" s="8"/>
      <c r="EU217" s="8"/>
      <c r="EV217" s="8"/>
      <c r="EW217" s="8"/>
      <c r="EX217" s="8"/>
      <c r="EY217" s="8"/>
      <c r="EZ217" s="8"/>
      <c r="FA217" s="8"/>
      <c r="FB217" s="8"/>
      <c r="FC217" s="8"/>
      <c r="FD217" s="8"/>
      <c r="FE217" s="8"/>
      <c r="FF217" s="8"/>
      <c r="FG217" s="8"/>
      <c r="FH217" s="8"/>
      <c r="FI217" s="8"/>
      <c r="FJ217" s="8"/>
      <c r="FK217" s="8"/>
      <c r="FL217" s="8"/>
      <c r="FM217" s="8"/>
      <c r="FN217" s="8"/>
      <c r="FO217" s="8"/>
      <c r="FP217" s="8"/>
      <c r="FQ217" s="8"/>
      <c r="FR217" s="8"/>
      <c r="FS217" s="8"/>
      <c r="FT217" s="8"/>
      <c r="FU217" s="8"/>
      <c r="FV217" s="8"/>
      <c r="FW217" s="8"/>
      <c r="FX217" s="8"/>
      <c r="FY217" s="8"/>
      <c r="FZ217" s="8"/>
      <c r="GA217" s="8"/>
      <c r="GB217" s="8"/>
      <c r="GC217" s="8"/>
      <c r="GD217" s="8"/>
      <c r="GE217" s="8"/>
      <c r="GF217" s="8"/>
      <c r="GG217" s="8"/>
      <c r="GH217" s="8"/>
      <c r="GI217" s="8"/>
      <c r="GJ217" s="8"/>
      <c r="GK217" s="8"/>
      <c r="GL217" s="8"/>
      <c r="GM217" s="8"/>
      <c r="GN217" s="8"/>
      <c r="GO217" s="8"/>
      <c r="GP217" s="8"/>
      <c r="GQ217" s="8"/>
      <c r="GR217" s="8"/>
      <c r="GS217" s="8"/>
      <c r="GT217" s="8"/>
      <c r="GU217" s="8"/>
      <c r="GV217" s="8"/>
      <c r="GW217" s="8"/>
      <c r="GX217" s="8"/>
      <c r="GY217" s="8"/>
      <c r="GZ217" s="8"/>
      <c r="HA217" s="8"/>
      <c r="HB217" s="8"/>
      <c r="HC217" s="8"/>
      <c r="HD217" s="8"/>
      <c r="HE217" s="8"/>
      <c r="HF217" s="8"/>
      <c r="HG217" s="8"/>
      <c r="HH217" s="8"/>
      <c r="HI217" s="8"/>
      <c r="HJ217" s="8"/>
      <c r="HK217" s="8"/>
      <c r="HL217" s="8"/>
      <c r="HM217" s="8"/>
      <c r="HN217" s="8"/>
      <c r="HO217" s="8"/>
      <c r="HP217" s="8"/>
      <c r="HQ217" s="8"/>
      <c r="HR217" s="8"/>
      <c r="HS217" s="8"/>
      <c r="HT217" s="8"/>
      <c r="HU217" s="8"/>
      <c r="HV217" s="8"/>
      <c r="HW217" s="8"/>
      <c r="HX217" s="8"/>
      <c r="HY217" s="8"/>
      <c r="HZ217" s="8"/>
      <c r="IA217" s="8"/>
      <c r="IB217" s="8"/>
      <c r="IC217" s="8"/>
      <c r="ID217" s="8"/>
      <c r="IE217" s="8"/>
      <c r="IF217" s="8"/>
      <c r="IG217" s="8"/>
      <c r="IH217" s="8"/>
      <c r="II217" s="8"/>
      <c r="IJ217" s="8"/>
      <c r="IK217" s="8"/>
      <c r="IL217" s="8"/>
      <c r="IM217" s="8"/>
    </row>
    <row r="218" spans="1:247" x14ac:dyDescent="0.25">
      <c r="A218" s="4">
        <v>8313</v>
      </c>
      <c r="B218" s="9" t="s">
        <v>233</v>
      </c>
      <c r="C218" s="10" t="s">
        <v>231</v>
      </c>
      <c r="D218" s="1721" t="s">
        <v>3060</v>
      </c>
      <c r="E218" s="1728"/>
      <c r="F218" s="1723">
        <f t="shared" si="58"/>
        <v>1.0209999999999999</v>
      </c>
      <c r="G218" s="1729">
        <f>+$G$3</f>
        <v>1.0269999999999999</v>
      </c>
      <c r="H218" s="1728"/>
      <c r="I218" s="1730"/>
      <c r="J218" s="1730"/>
      <c r="K218" s="1730"/>
      <c r="L218" s="1730"/>
      <c r="M218" s="1730"/>
      <c r="N218" s="1729"/>
      <c r="O218" s="1731"/>
      <c r="P218" s="1728">
        <f t="shared" si="60"/>
        <v>1.032</v>
      </c>
      <c r="Q218" s="1729">
        <f t="shared" si="61"/>
        <v>1.0349999999999999</v>
      </c>
      <c r="R218" s="1732">
        <f t="shared" si="59"/>
        <v>1.1199953840399997</v>
      </c>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c r="CA218" s="8"/>
      <c r="CB218" s="8"/>
      <c r="CC218" s="8"/>
      <c r="CD218" s="8"/>
      <c r="CE218" s="8"/>
      <c r="CF218" s="8"/>
      <c r="CG218" s="8"/>
      <c r="CH218" s="8"/>
      <c r="CI218" s="8"/>
      <c r="CJ218" s="8"/>
      <c r="CK218" s="8"/>
      <c r="CL218" s="8"/>
      <c r="CM218" s="8"/>
      <c r="CN218" s="8"/>
      <c r="CO218" s="8"/>
      <c r="CP218" s="8"/>
      <c r="CQ218" s="8"/>
      <c r="CR218" s="8"/>
      <c r="CS218" s="8"/>
      <c r="CT218" s="8"/>
      <c r="CU218" s="8"/>
      <c r="CV218" s="8"/>
      <c r="CW218" s="8"/>
      <c r="CX218" s="8"/>
      <c r="CY218" s="8"/>
      <c r="CZ218" s="8"/>
      <c r="DA218" s="8"/>
      <c r="DB218" s="8"/>
      <c r="DC218" s="8"/>
      <c r="DD218" s="8"/>
      <c r="DE218" s="8"/>
      <c r="DF218" s="8"/>
      <c r="DG218" s="8"/>
      <c r="DH218" s="8"/>
      <c r="DI218" s="8"/>
      <c r="DJ218" s="8"/>
      <c r="DK218" s="8"/>
      <c r="DL218" s="8"/>
      <c r="DM218" s="8"/>
      <c r="DN218" s="8"/>
      <c r="DO218" s="8"/>
      <c r="DP218" s="8"/>
      <c r="DQ218" s="8"/>
      <c r="DR218" s="8"/>
      <c r="DS218" s="8"/>
      <c r="DT218" s="8"/>
      <c r="DU218" s="8"/>
      <c r="DV218" s="8"/>
      <c r="DW218" s="8"/>
      <c r="DX218" s="8"/>
      <c r="DY218" s="8"/>
      <c r="DZ218" s="8"/>
      <c r="EA218" s="8"/>
      <c r="EB218" s="8"/>
      <c r="EC218" s="8"/>
      <c r="ED218" s="8"/>
      <c r="EE218" s="8"/>
      <c r="EF218" s="8"/>
      <c r="EG218" s="8"/>
      <c r="EH218" s="8"/>
      <c r="EI218" s="8"/>
      <c r="EJ218" s="8"/>
      <c r="EK218" s="8"/>
      <c r="EL218" s="8"/>
      <c r="EM218" s="8"/>
      <c r="EN218" s="8"/>
      <c r="EO218" s="8"/>
      <c r="EP218" s="8"/>
      <c r="EQ218" s="8"/>
      <c r="ER218" s="8"/>
      <c r="ES218" s="8"/>
      <c r="ET218" s="8"/>
      <c r="EU218" s="8"/>
      <c r="EV218" s="8"/>
      <c r="EW218" s="8"/>
      <c r="EX218" s="8"/>
      <c r="EY218" s="8"/>
      <c r="EZ218" s="8"/>
      <c r="FA218" s="8"/>
      <c r="FB218" s="8"/>
      <c r="FC218" s="8"/>
      <c r="FD218" s="8"/>
      <c r="FE218" s="8"/>
      <c r="FF218" s="8"/>
      <c r="FG218" s="8"/>
      <c r="FH218" s="8"/>
      <c r="FI218" s="8"/>
      <c r="FJ218" s="8"/>
      <c r="FK218" s="8"/>
      <c r="FL218" s="8"/>
      <c r="FM218" s="8"/>
      <c r="FN218" s="8"/>
      <c r="FO218" s="8"/>
      <c r="FP218" s="8"/>
      <c r="FQ218" s="8"/>
      <c r="FR218" s="8"/>
      <c r="FS218" s="8"/>
      <c r="FT218" s="8"/>
      <c r="FU218" s="8"/>
      <c r="FV218" s="8"/>
      <c r="FW218" s="8"/>
      <c r="FX218" s="8"/>
      <c r="FY218" s="8"/>
      <c r="FZ218" s="8"/>
      <c r="GA218" s="8"/>
      <c r="GB218" s="8"/>
      <c r="GC218" s="8"/>
      <c r="GD218" s="8"/>
      <c r="GE218" s="8"/>
      <c r="GF218" s="8"/>
      <c r="GG218" s="8"/>
      <c r="GH218" s="8"/>
      <c r="GI218" s="8"/>
      <c r="GJ218" s="8"/>
      <c r="GK218" s="8"/>
      <c r="GL218" s="8"/>
      <c r="GM218" s="8"/>
      <c r="GN218" s="8"/>
      <c r="GO218" s="8"/>
      <c r="GP218" s="8"/>
      <c r="GQ218" s="8"/>
      <c r="GR218" s="8"/>
      <c r="GS218" s="8"/>
      <c r="GT218" s="8"/>
      <c r="GU218" s="8"/>
      <c r="GV218" s="8"/>
      <c r="GW218" s="8"/>
      <c r="GX218" s="8"/>
      <c r="GY218" s="8"/>
      <c r="GZ218" s="8"/>
      <c r="HA218" s="8"/>
      <c r="HB218" s="8"/>
      <c r="HC218" s="8"/>
      <c r="HD218" s="8"/>
      <c r="HE218" s="8"/>
      <c r="HF218" s="8"/>
      <c r="HG218" s="8"/>
      <c r="HH218" s="8"/>
      <c r="HI218" s="8"/>
      <c r="HJ218" s="8"/>
      <c r="HK218" s="8"/>
      <c r="HL218" s="8"/>
      <c r="HM218" s="8"/>
      <c r="HN218" s="8"/>
      <c r="HO218" s="8"/>
      <c r="HP218" s="8"/>
      <c r="HQ218" s="8"/>
      <c r="HR218" s="8"/>
      <c r="HS218" s="8"/>
      <c r="HT218" s="8"/>
      <c r="HU218" s="8"/>
      <c r="HV218" s="8"/>
      <c r="HW218" s="8"/>
      <c r="HX218" s="8"/>
      <c r="HY218" s="8"/>
      <c r="HZ218" s="8"/>
      <c r="IA218" s="8"/>
      <c r="IB218" s="8"/>
      <c r="IC218" s="8"/>
      <c r="ID218" s="8"/>
      <c r="IE218" s="8"/>
      <c r="IF218" s="8"/>
      <c r="IG218" s="8"/>
      <c r="IH218" s="8"/>
      <c r="II218" s="8"/>
      <c r="IJ218" s="8"/>
      <c r="IK218" s="8"/>
      <c r="IL218" s="8"/>
      <c r="IM218" s="8"/>
    </row>
    <row r="219" spans="1:247" x14ac:dyDescent="0.25">
      <c r="A219" s="4">
        <v>8314</v>
      </c>
      <c r="B219" s="9" t="s">
        <v>234</v>
      </c>
      <c r="C219" s="10" t="s">
        <v>6</v>
      </c>
      <c r="D219" s="1721" t="s">
        <v>3060</v>
      </c>
      <c r="E219" s="1728"/>
      <c r="F219" s="1723">
        <f t="shared" si="58"/>
        <v>1.0209999999999999</v>
      </c>
      <c r="G219" s="1729"/>
      <c r="H219" s="1728"/>
      <c r="I219" s="1730"/>
      <c r="J219" s="1730"/>
      <c r="K219" s="1730"/>
      <c r="L219" s="1730"/>
      <c r="M219" s="1730"/>
      <c r="N219" s="1729"/>
      <c r="O219" s="1731"/>
      <c r="P219" s="1728">
        <f t="shared" si="60"/>
        <v>1.032</v>
      </c>
      <c r="Q219" s="1729">
        <f t="shared" si="61"/>
        <v>1.0349999999999999</v>
      </c>
      <c r="R219" s="1732">
        <f t="shared" si="59"/>
        <v>1.0905505199999999</v>
      </c>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c r="CA219" s="8"/>
      <c r="CB219" s="8"/>
      <c r="CC219" s="8"/>
      <c r="CD219" s="8"/>
      <c r="CE219" s="8"/>
      <c r="CF219" s="8"/>
      <c r="CG219" s="8"/>
      <c r="CH219" s="8"/>
      <c r="CI219" s="8"/>
      <c r="CJ219" s="8"/>
      <c r="CK219" s="8"/>
      <c r="CL219" s="8"/>
      <c r="CM219" s="8"/>
      <c r="CN219" s="8"/>
      <c r="CO219" s="8"/>
      <c r="CP219" s="8"/>
      <c r="CQ219" s="8"/>
      <c r="CR219" s="8"/>
      <c r="CS219" s="8"/>
      <c r="CT219" s="8"/>
      <c r="CU219" s="8"/>
      <c r="CV219" s="8"/>
      <c r="CW219" s="8"/>
      <c r="CX219" s="8"/>
      <c r="CY219" s="8"/>
      <c r="CZ219" s="8"/>
      <c r="DA219" s="8"/>
      <c r="DB219" s="8"/>
      <c r="DC219" s="8"/>
      <c r="DD219" s="8"/>
      <c r="DE219" s="8"/>
      <c r="DF219" s="8"/>
      <c r="DG219" s="8"/>
      <c r="DH219" s="8"/>
      <c r="DI219" s="8"/>
      <c r="DJ219" s="8"/>
      <c r="DK219" s="8"/>
      <c r="DL219" s="8"/>
      <c r="DM219" s="8"/>
      <c r="DN219" s="8"/>
      <c r="DO219" s="8"/>
      <c r="DP219" s="8"/>
      <c r="DQ219" s="8"/>
      <c r="DR219" s="8"/>
      <c r="DS219" s="8"/>
      <c r="DT219" s="8"/>
      <c r="DU219" s="8"/>
      <c r="DV219" s="8"/>
      <c r="DW219" s="8"/>
      <c r="DX219" s="8"/>
      <c r="DY219" s="8"/>
      <c r="DZ219" s="8"/>
      <c r="EA219" s="8"/>
      <c r="EB219" s="8"/>
      <c r="EC219" s="8"/>
      <c r="ED219" s="8"/>
      <c r="EE219" s="8"/>
      <c r="EF219" s="8"/>
      <c r="EG219" s="8"/>
      <c r="EH219" s="8"/>
      <c r="EI219" s="8"/>
      <c r="EJ219" s="8"/>
      <c r="EK219" s="8"/>
      <c r="EL219" s="8"/>
      <c r="EM219" s="8"/>
      <c r="EN219" s="8"/>
      <c r="EO219" s="8"/>
      <c r="EP219" s="8"/>
      <c r="EQ219" s="8"/>
      <c r="ER219" s="8"/>
      <c r="ES219" s="8"/>
      <c r="ET219" s="8"/>
      <c r="EU219" s="8"/>
      <c r="EV219" s="8"/>
      <c r="EW219" s="8"/>
      <c r="EX219" s="8"/>
      <c r="EY219" s="8"/>
      <c r="EZ219" s="8"/>
      <c r="FA219" s="8"/>
      <c r="FB219" s="8"/>
      <c r="FC219" s="8"/>
      <c r="FD219" s="8"/>
      <c r="FE219" s="8"/>
      <c r="FF219" s="8"/>
      <c r="FG219" s="8"/>
      <c r="FH219" s="8"/>
      <c r="FI219" s="8"/>
      <c r="FJ219" s="8"/>
      <c r="FK219" s="8"/>
      <c r="FL219" s="8"/>
      <c r="FM219" s="8"/>
      <c r="FN219" s="8"/>
      <c r="FO219" s="8"/>
      <c r="FP219" s="8"/>
      <c r="FQ219" s="8"/>
      <c r="FR219" s="8"/>
      <c r="FS219" s="8"/>
      <c r="FT219" s="8"/>
      <c r="FU219" s="8"/>
      <c r="FV219" s="8"/>
      <c r="FW219" s="8"/>
      <c r="FX219" s="8"/>
      <c r="FY219" s="8"/>
      <c r="FZ219" s="8"/>
      <c r="GA219" s="8"/>
      <c r="GB219" s="8"/>
      <c r="GC219" s="8"/>
      <c r="GD219" s="8"/>
      <c r="GE219" s="8"/>
      <c r="GF219" s="8"/>
      <c r="GG219" s="8"/>
      <c r="GH219" s="8"/>
      <c r="GI219" s="8"/>
      <c r="GJ219" s="8"/>
      <c r="GK219" s="8"/>
      <c r="GL219" s="8"/>
      <c r="GM219" s="8"/>
      <c r="GN219" s="8"/>
      <c r="GO219" s="8"/>
      <c r="GP219" s="8"/>
      <c r="GQ219" s="8"/>
      <c r="GR219" s="8"/>
      <c r="GS219" s="8"/>
      <c r="GT219" s="8"/>
      <c r="GU219" s="8"/>
      <c r="GV219" s="8"/>
      <c r="GW219" s="8"/>
      <c r="GX219" s="8"/>
      <c r="GY219" s="8"/>
      <c r="GZ219" s="8"/>
      <c r="HA219" s="8"/>
      <c r="HB219" s="8"/>
      <c r="HC219" s="8"/>
      <c r="HD219" s="8"/>
      <c r="HE219" s="8"/>
      <c r="HF219" s="8"/>
      <c r="HG219" s="8"/>
      <c r="HH219" s="8"/>
      <c r="HI219" s="8"/>
      <c r="HJ219" s="8"/>
      <c r="HK219" s="8"/>
      <c r="HL219" s="8"/>
      <c r="HM219" s="8"/>
      <c r="HN219" s="8"/>
      <c r="HO219" s="8"/>
      <c r="HP219" s="8"/>
      <c r="HQ219" s="8"/>
      <c r="HR219" s="8"/>
      <c r="HS219" s="8"/>
      <c r="HT219" s="8"/>
      <c r="HU219" s="8"/>
      <c r="HV219" s="8"/>
      <c r="HW219" s="8"/>
      <c r="HX219" s="8"/>
      <c r="HY219" s="8"/>
      <c r="HZ219" s="8"/>
      <c r="IA219" s="8"/>
      <c r="IB219" s="8"/>
      <c r="IC219" s="8"/>
      <c r="ID219" s="8"/>
      <c r="IE219" s="8"/>
      <c r="IF219" s="8"/>
      <c r="IG219" s="8"/>
      <c r="IH219" s="8"/>
      <c r="II219" s="8"/>
      <c r="IJ219" s="8"/>
      <c r="IK219" s="8"/>
      <c r="IL219" s="8"/>
      <c r="IM219" s="8"/>
    </row>
    <row r="220" spans="1:247" x14ac:dyDescent="0.25">
      <c r="A220" s="4">
        <v>8315</v>
      </c>
      <c r="B220" s="9" t="s">
        <v>235</v>
      </c>
      <c r="C220" s="10" t="s">
        <v>6</v>
      </c>
      <c r="D220" s="1721" t="s">
        <v>3060</v>
      </c>
      <c r="E220" s="1728"/>
      <c r="F220" s="1723">
        <f t="shared" si="58"/>
        <v>1.0209999999999999</v>
      </c>
      <c r="G220" s="1729"/>
      <c r="H220" s="1728"/>
      <c r="I220" s="1730"/>
      <c r="J220" s="1730"/>
      <c r="K220" s="1730"/>
      <c r="L220" s="1730"/>
      <c r="M220" s="1730"/>
      <c r="N220" s="1729"/>
      <c r="O220" s="1731"/>
      <c r="P220" s="1728">
        <f t="shared" si="60"/>
        <v>1.032</v>
      </c>
      <c r="Q220" s="1729">
        <f t="shared" si="61"/>
        <v>1.0349999999999999</v>
      </c>
      <c r="R220" s="1732">
        <f t="shared" si="59"/>
        <v>1.0905505199999999</v>
      </c>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c r="CA220" s="8"/>
      <c r="CB220" s="8"/>
      <c r="CC220" s="8"/>
      <c r="CD220" s="8"/>
      <c r="CE220" s="8"/>
      <c r="CF220" s="8"/>
      <c r="CG220" s="8"/>
      <c r="CH220" s="8"/>
      <c r="CI220" s="8"/>
      <c r="CJ220" s="8"/>
      <c r="CK220" s="8"/>
      <c r="CL220" s="8"/>
      <c r="CM220" s="8"/>
      <c r="CN220" s="8"/>
      <c r="CO220" s="8"/>
      <c r="CP220" s="8"/>
      <c r="CQ220" s="8"/>
      <c r="CR220" s="8"/>
      <c r="CS220" s="8"/>
      <c r="CT220" s="8"/>
      <c r="CU220" s="8"/>
      <c r="CV220" s="8"/>
      <c r="CW220" s="8"/>
      <c r="CX220" s="8"/>
      <c r="CY220" s="8"/>
      <c r="CZ220" s="8"/>
      <c r="DA220" s="8"/>
      <c r="DB220" s="8"/>
      <c r="DC220" s="8"/>
      <c r="DD220" s="8"/>
      <c r="DE220" s="8"/>
      <c r="DF220" s="8"/>
      <c r="DG220" s="8"/>
      <c r="DH220" s="8"/>
      <c r="DI220" s="8"/>
      <c r="DJ220" s="8"/>
      <c r="DK220" s="8"/>
      <c r="DL220" s="8"/>
      <c r="DM220" s="8"/>
      <c r="DN220" s="8"/>
      <c r="DO220" s="8"/>
      <c r="DP220" s="8"/>
      <c r="DQ220" s="8"/>
      <c r="DR220" s="8"/>
      <c r="DS220" s="8"/>
      <c r="DT220" s="8"/>
      <c r="DU220" s="8"/>
      <c r="DV220" s="8"/>
      <c r="DW220" s="8"/>
      <c r="DX220" s="8"/>
      <c r="DY220" s="8"/>
      <c r="DZ220" s="8"/>
      <c r="EA220" s="8"/>
      <c r="EB220" s="8"/>
      <c r="EC220" s="8"/>
      <c r="ED220" s="8"/>
      <c r="EE220" s="8"/>
      <c r="EF220" s="8"/>
      <c r="EG220" s="8"/>
      <c r="EH220" s="8"/>
      <c r="EI220" s="8"/>
      <c r="EJ220" s="8"/>
      <c r="EK220" s="8"/>
      <c r="EL220" s="8"/>
      <c r="EM220" s="8"/>
      <c r="EN220" s="8"/>
      <c r="EO220" s="8"/>
      <c r="EP220" s="8"/>
      <c r="EQ220" s="8"/>
      <c r="ER220" s="8"/>
      <c r="ES220" s="8"/>
      <c r="ET220" s="8"/>
      <c r="EU220" s="8"/>
      <c r="EV220" s="8"/>
      <c r="EW220" s="8"/>
      <c r="EX220" s="8"/>
      <c r="EY220" s="8"/>
      <c r="EZ220" s="8"/>
      <c r="FA220" s="8"/>
      <c r="FB220" s="8"/>
      <c r="FC220" s="8"/>
      <c r="FD220" s="8"/>
      <c r="FE220" s="8"/>
      <c r="FF220" s="8"/>
      <c r="FG220" s="8"/>
      <c r="FH220" s="8"/>
      <c r="FI220" s="8"/>
      <c r="FJ220" s="8"/>
      <c r="FK220" s="8"/>
      <c r="FL220" s="8"/>
      <c r="FM220" s="8"/>
      <c r="FN220" s="8"/>
      <c r="FO220" s="8"/>
      <c r="FP220" s="8"/>
      <c r="FQ220" s="8"/>
      <c r="FR220" s="8"/>
      <c r="FS220" s="8"/>
      <c r="FT220" s="8"/>
      <c r="FU220" s="8"/>
      <c r="FV220" s="8"/>
      <c r="FW220" s="8"/>
      <c r="FX220" s="8"/>
      <c r="FY220" s="8"/>
      <c r="FZ220" s="8"/>
      <c r="GA220" s="8"/>
      <c r="GB220" s="8"/>
      <c r="GC220" s="8"/>
      <c r="GD220" s="8"/>
      <c r="GE220" s="8"/>
      <c r="GF220" s="8"/>
      <c r="GG220" s="8"/>
      <c r="GH220" s="8"/>
      <c r="GI220" s="8"/>
      <c r="GJ220" s="8"/>
      <c r="GK220" s="8"/>
      <c r="GL220" s="8"/>
      <c r="GM220" s="8"/>
      <c r="GN220" s="8"/>
      <c r="GO220" s="8"/>
      <c r="GP220" s="8"/>
      <c r="GQ220" s="8"/>
      <c r="GR220" s="8"/>
      <c r="GS220" s="8"/>
      <c r="GT220" s="8"/>
      <c r="GU220" s="8"/>
      <c r="GV220" s="8"/>
      <c r="GW220" s="8"/>
      <c r="GX220" s="8"/>
      <c r="GY220" s="8"/>
      <c r="GZ220" s="8"/>
      <c r="HA220" s="8"/>
      <c r="HB220" s="8"/>
      <c r="HC220" s="8"/>
      <c r="HD220" s="8"/>
      <c r="HE220" s="8"/>
      <c r="HF220" s="8"/>
      <c r="HG220" s="8"/>
      <c r="HH220" s="8"/>
      <c r="HI220" s="8"/>
      <c r="HJ220" s="8"/>
      <c r="HK220" s="8"/>
      <c r="HL220" s="8"/>
      <c r="HM220" s="8"/>
      <c r="HN220" s="8"/>
      <c r="HO220" s="8"/>
      <c r="HP220" s="8"/>
      <c r="HQ220" s="8"/>
      <c r="HR220" s="8"/>
      <c r="HS220" s="8"/>
      <c r="HT220" s="8"/>
      <c r="HU220" s="8"/>
      <c r="HV220" s="8"/>
      <c r="HW220" s="8"/>
      <c r="HX220" s="8"/>
      <c r="HY220" s="8"/>
      <c r="HZ220" s="8"/>
      <c r="IA220" s="8"/>
      <c r="IB220" s="8"/>
      <c r="IC220" s="8"/>
      <c r="ID220" s="8"/>
      <c r="IE220" s="8"/>
      <c r="IF220" s="8"/>
      <c r="IG220" s="8"/>
      <c r="IH220" s="8"/>
      <c r="II220" s="8"/>
      <c r="IJ220" s="8"/>
      <c r="IK220" s="8"/>
      <c r="IL220" s="8"/>
      <c r="IM220" s="8"/>
    </row>
    <row r="221" spans="1:247" x14ac:dyDescent="0.25">
      <c r="A221" s="4">
        <v>8321</v>
      </c>
      <c r="B221" s="9" t="s">
        <v>236</v>
      </c>
      <c r="C221" s="10" t="s">
        <v>7</v>
      </c>
      <c r="D221" s="1721" t="s">
        <v>3061</v>
      </c>
      <c r="E221" s="1728"/>
      <c r="F221" s="1723">
        <f t="shared" si="58"/>
        <v>1.0209999999999999</v>
      </c>
      <c r="G221" s="1729"/>
      <c r="H221" s="1728"/>
      <c r="I221" s="1730"/>
      <c r="J221" s="1730"/>
      <c r="K221" s="1730"/>
      <c r="L221" s="1730"/>
      <c r="M221" s="1730"/>
      <c r="N221" s="1729"/>
      <c r="O221" s="1731"/>
      <c r="P221" s="1728">
        <f t="shared" si="60"/>
        <v>1.032</v>
      </c>
      <c r="Q221" s="1729">
        <f t="shared" si="61"/>
        <v>1.0349999999999999</v>
      </c>
      <c r="R221" s="1732">
        <f t="shared" si="59"/>
        <v>1.0905505199999999</v>
      </c>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c r="CA221" s="8"/>
      <c r="CB221" s="8"/>
      <c r="CC221" s="8"/>
      <c r="CD221" s="8"/>
      <c r="CE221" s="8"/>
      <c r="CF221" s="8"/>
      <c r="CG221" s="8"/>
      <c r="CH221" s="8"/>
      <c r="CI221" s="8"/>
      <c r="CJ221" s="8"/>
      <c r="CK221" s="8"/>
      <c r="CL221" s="8"/>
      <c r="CM221" s="8"/>
      <c r="CN221" s="8"/>
      <c r="CO221" s="8"/>
      <c r="CP221" s="8"/>
      <c r="CQ221" s="8"/>
      <c r="CR221" s="8"/>
      <c r="CS221" s="8"/>
      <c r="CT221" s="8"/>
      <c r="CU221" s="8"/>
      <c r="CV221" s="8"/>
      <c r="CW221" s="8"/>
      <c r="CX221" s="8"/>
      <c r="CY221" s="8"/>
      <c r="CZ221" s="8"/>
      <c r="DA221" s="8"/>
      <c r="DB221" s="8"/>
      <c r="DC221" s="8"/>
      <c r="DD221" s="8"/>
      <c r="DE221" s="8"/>
      <c r="DF221" s="8"/>
      <c r="DG221" s="8"/>
      <c r="DH221" s="8"/>
      <c r="DI221" s="8"/>
      <c r="DJ221" s="8"/>
      <c r="DK221" s="8"/>
      <c r="DL221" s="8"/>
      <c r="DM221" s="8"/>
      <c r="DN221" s="8"/>
      <c r="DO221" s="8"/>
      <c r="DP221" s="8"/>
      <c r="DQ221" s="8"/>
      <c r="DR221" s="8"/>
      <c r="DS221" s="8"/>
      <c r="DT221" s="8"/>
      <c r="DU221" s="8"/>
      <c r="DV221" s="8"/>
      <c r="DW221" s="8"/>
      <c r="DX221" s="8"/>
      <c r="DY221" s="8"/>
      <c r="DZ221" s="8"/>
      <c r="EA221" s="8"/>
      <c r="EB221" s="8"/>
      <c r="EC221" s="8"/>
      <c r="ED221" s="8"/>
      <c r="EE221" s="8"/>
      <c r="EF221" s="8"/>
      <c r="EG221" s="8"/>
      <c r="EH221" s="8"/>
      <c r="EI221" s="8"/>
      <c r="EJ221" s="8"/>
      <c r="EK221" s="8"/>
      <c r="EL221" s="8"/>
      <c r="EM221" s="8"/>
      <c r="EN221" s="8"/>
      <c r="EO221" s="8"/>
      <c r="EP221" s="8"/>
      <c r="EQ221" s="8"/>
      <c r="ER221" s="8"/>
      <c r="ES221" s="8"/>
      <c r="ET221" s="8"/>
      <c r="EU221" s="8"/>
      <c r="EV221" s="8"/>
      <c r="EW221" s="8"/>
      <c r="EX221" s="8"/>
      <c r="EY221" s="8"/>
      <c r="EZ221" s="8"/>
      <c r="FA221" s="8"/>
      <c r="FB221" s="8"/>
      <c r="FC221" s="8"/>
      <c r="FD221" s="8"/>
      <c r="FE221" s="8"/>
      <c r="FF221" s="8"/>
      <c r="FG221" s="8"/>
      <c r="FH221" s="8"/>
      <c r="FI221" s="8"/>
      <c r="FJ221" s="8"/>
      <c r="FK221" s="8"/>
      <c r="FL221" s="8"/>
      <c r="FM221" s="8"/>
      <c r="FN221" s="8"/>
      <c r="FO221" s="8"/>
      <c r="FP221" s="8"/>
      <c r="FQ221" s="8"/>
      <c r="FR221" s="8"/>
      <c r="FS221" s="8"/>
      <c r="FT221" s="8"/>
      <c r="FU221" s="8"/>
      <c r="FV221" s="8"/>
      <c r="FW221" s="8"/>
      <c r="FX221" s="8"/>
      <c r="FY221" s="8"/>
      <c r="FZ221" s="8"/>
      <c r="GA221" s="8"/>
      <c r="GB221" s="8"/>
      <c r="GC221" s="8"/>
      <c r="GD221" s="8"/>
      <c r="GE221" s="8"/>
      <c r="GF221" s="8"/>
      <c r="GG221" s="8"/>
      <c r="GH221" s="8"/>
      <c r="GI221" s="8"/>
      <c r="GJ221" s="8"/>
      <c r="GK221" s="8"/>
      <c r="GL221" s="8"/>
      <c r="GM221" s="8"/>
      <c r="GN221" s="8"/>
      <c r="GO221" s="8"/>
      <c r="GP221" s="8"/>
      <c r="GQ221" s="8"/>
      <c r="GR221" s="8"/>
      <c r="GS221" s="8"/>
      <c r="GT221" s="8"/>
      <c r="GU221" s="8"/>
      <c r="GV221" s="8"/>
      <c r="GW221" s="8"/>
      <c r="GX221" s="8"/>
      <c r="GY221" s="8"/>
      <c r="GZ221" s="8"/>
      <c r="HA221" s="8"/>
      <c r="HB221" s="8"/>
      <c r="HC221" s="8"/>
      <c r="HD221" s="8"/>
      <c r="HE221" s="8"/>
      <c r="HF221" s="8"/>
      <c r="HG221" s="8"/>
      <c r="HH221" s="8"/>
      <c r="HI221" s="8"/>
      <c r="HJ221" s="8"/>
      <c r="HK221" s="8"/>
      <c r="HL221" s="8"/>
      <c r="HM221" s="8"/>
      <c r="HN221" s="8"/>
      <c r="HO221" s="8"/>
      <c r="HP221" s="8"/>
      <c r="HQ221" s="8"/>
      <c r="HR221" s="8"/>
      <c r="HS221" s="8"/>
      <c r="HT221" s="8"/>
      <c r="HU221" s="8"/>
      <c r="HV221" s="8"/>
      <c r="HW221" s="8"/>
      <c r="HX221" s="8"/>
      <c r="HY221" s="8"/>
      <c r="HZ221" s="8"/>
      <c r="IA221" s="8"/>
      <c r="IB221" s="8"/>
      <c r="IC221" s="8"/>
      <c r="ID221" s="8"/>
      <c r="IE221" s="8"/>
      <c r="IF221" s="8"/>
      <c r="IG221" s="8"/>
      <c r="IH221" s="8"/>
      <c r="II221" s="8"/>
      <c r="IJ221" s="8"/>
      <c r="IK221" s="8"/>
      <c r="IL221" s="8"/>
      <c r="IM221" s="8"/>
    </row>
    <row r="222" spans="1:247" x14ac:dyDescent="0.25">
      <c r="A222" s="4">
        <v>8331</v>
      </c>
      <c r="B222" s="9" t="s">
        <v>237</v>
      </c>
      <c r="C222" s="10" t="s">
        <v>11</v>
      </c>
      <c r="D222" s="1721" t="s">
        <v>3060</v>
      </c>
      <c r="E222" s="1728"/>
      <c r="F222" s="1723">
        <f t="shared" si="58"/>
        <v>1.0209999999999999</v>
      </c>
      <c r="G222" s="1729">
        <f>+$G$3</f>
        <v>1.0269999999999999</v>
      </c>
      <c r="H222" s="1728"/>
      <c r="I222" s="1730"/>
      <c r="J222" s="1730"/>
      <c r="K222" s="1730"/>
      <c r="L222" s="1730"/>
      <c r="M222" s="1730"/>
      <c r="N222" s="1729"/>
      <c r="O222" s="1731"/>
      <c r="P222" s="1728"/>
      <c r="Q222" s="1729"/>
      <c r="R222" s="1732">
        <f t="shared" si="59"/>
        <v>1.0485669999999998</v>
      </c>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c r="CA222" s="8"/>
      <c r="CB222" s="8"/>
      <c r="CC222" s="8"/>
      <c r="CD222" s="8"/>
      <c r="CE222" s="8"/>
      <c r="CF222" s="8"/>
      <c r="CG222" s="8"/>
      <c r="CH222" s="8"/>
      <c r="CI222" s="8"/>
      <c r="CJ222" s="8"/>
      <c r="CK222" s="8"/>
      <c r="CL222" s="8"/>
      <c r="CM222" s="8"/>
      <c r="CN222" s="8"/>
      <c r="CO222" s="8"/>
      <c r="CP222" s="8"/>
      <c r="CQ222" s="8"/>
      <c r="CR222" s="8"/>
      <c r="CS222" s="8"/>
      <c r="CT222" s="8"/>
      <c r="CU222" s="8"/>
      <c r="CV222" s="8"/>
      <c r="CW222" s="8"/>
      <c r="CX222" s="8"/>
      <c r="CY222" s="8"/>
      <c r="CZ222" s="8"/>
      <c r="DA222" s="8"/>
      <c r="DB222" s="8"/>
      <c r="DC222" s="8"/>
      <c r="DD222" s="8"/>
      <c r="DE222" s="8"/>
      <c r="DF222" s="8"/>
      <c r="DG222" s="8"/>
      <c r="DH222" s="8"/>
      <c r="DI222" s="8"/>
      <c r="DJ222" s="8"/>
      <c r="DK222" s="8"/>
      <c r="DL222" s="8"/>
      <c r="DM222" s="8"/>
      <c r="DN222" s="8"/>
      <c r="DO222" s="8"/>
      <c r="DP222" s="8"/>
      <c r="DQ222" s="8"/>
      <c r="DR222" s="8"/>
      <c r="DS222" s="8"/>
      <c r="DT222" s="8"/>
      <c r="DU222" s="8"/>
      <c r="DV222" s="8"/>
      <c r="DW222" s="8"/>
      <c r="DX222" s="8"/>
      <c r="DY222" s="8"/>
      <c r="DZ222" s="8"/>
      <c r="EA222" s="8"/>
      <c r="EB222" s="8"/>
      <c r="EC222" s="8"/>
      <c r="ED222" s="8"/>
      <c r="EE222" s="8"/>
      <c r="EF222" s="8"/>
      <c r="EG222" s="8"/>
      <c r="EH222" s="8"/>
      <c r="EI222" s="8"/>
      <c r="EJ222" s="8"/>
      <c r="EK222" s="8"/>
      <c r="EL222" s="8"/>
      <c r="EM222" s="8"/>
      <c r="EN222" s="8"/>
      <c r="EO222" s="8"/>
      <c r="EP222" s="8"/>
      <c r="EQ222" s="8"/>
      <c r="ER222" s="8"/>
      <c r="ES222" s="8"/>
      <c r="ET222" s="8"/>
      <c r="EU222" s="8"/>
      <c r="EV222" s="8"/>
      <c r="EW222" s="8"/>
      <c r="EX222" s="8"/>
      <c r="EY222" s="8"/>
      <c r="EZ222" s="8"/>
      <c r="FA222" s="8"/>
      <c r="FB222" s="8"/>
      <c r="FC222" s="8"/>
      <c r="FD222" s="8"/>
      <c r="FE222" s="8"/>
      <c r="FF222" s="8"/>
      <c r="FG222" s="8"/>
      <c r="FH222" s="8"/>
      <c r="FI222" s="8"/>
      <c r="FJ222" s="8"/>
      <c r="FK222" s="8"/>
      <c r="FL222" s="8"/>
      <c r="FM222" s="8"/>
      <c r="FN222" s="8"/>
      <c r="FO222" s="8"/>
      <c r="FP222" s="8"/>
      <c r="FQ222" s="8"/>
      <c r="FR222" s="8"/>
      <c r="FS222" s="8"/>
      <c r="FT222" s="8"/>
      <c r="FU222" s="8"/>
      <c r="FV222" s="8"/>
      <c r="FW222" s="8"/>
      <c r="FX222" s="8"/>
      <c r="FY222" s="8"/>
      <c r="FZ222" s="8"/>
      <c r="GA222" s="8"/>
      <c r="GB222" s="8"/>
      <c r="GC222" s="8"/>
      <c r="GD222" s="8"/>
      <c r="GE222" s="8"/>
      <c r="GF222" s="8"/>
      <c r="GG222" s="8"/>
      <c r="GH222" s="8"/>
      <c r="GI222" s="8"/>
      <c r="GJ222" s="8"/>
      <c r="GK222" s="8"/>
      <c r="GL222" s="8"/>
      <c r="GM222" s="8"/>
      <c r="GN222" s="8"/>
      <c r="GO222" s="8"/>
      <c r="GP222" s="8"/>
      <c r="GQ222" s="8"/>
      <c r="GR222" s="8"/>
      <c r="GS222" s="8"/>
      <c r="GT222" s="8"/>
      <c r="GU222" s="8"/>
      <c r="GV222" s="8"/>
      <c r="GW222" s="8"/>
      <c r="GX222" s="8"/>
      <c r="GY222" s="8"/>
      <c r="GZ222" s="8"/>
      <c r="HA222" s="8"/>
      <c r="HB222" s="8"/>
      <c r="HC222" s="8"/>
      <c r="HD222" s="8"/>
      <c r="HE222" s="8"/>
      <c r="HF222" s="8"/>
      <c r="HG222" s="8"/>
      <c r="HH222" s="8"/>
      <c r="HI222" s="8"/>
      <c r="HJ222" s="8"/>
      <c r="HK222" s="8"/>
      <c r="HL222" s="8"/>
      <c r="HM222" s="8"/>
      <c r="HN222" s="8"/>
      <c r="HO222" s="8"/>
      <c r="HP222" s="8"/>
      <c r="HQ222" s="8"/>
      <c r="HR222" s="8"/>
      <c r="HS222" s="8"/>
      <c r="HT222" s="8"/>
      <c r="HU222" s="8"/>
      <c r="HV222" s="8"/>
      <c r="HW222" s="8"/>
      <c r="HX222" s="8"/>
      <c r="HY222" s="8"/>
      <c r="HZ222" s="8"/>
      <c r="IA222" s="8"/>
      <c r="IB222" s="8"/>
      <c r="IC222" s="8"/>
      <c r="ID222" s="8"/>
      <c r="IE222" s="8"/>
      <c r="IF222" s="8"/>
      <c r="IG222" s="8"/>
      <c r="IH222" s="8"/>
      <c r="II222" s="8"/>
      <c r="IJ222" s="8"/>
      <c r="IK222" s="8"/>
      <c r="IL222" s="8"/>
      <c r="IM222" s="8"/>
    </row>
    <row r="223" spans="1:247" x14ac:dyDescent="0.25">
      <c r="A223" s="4">
        <v>8332</v>
      </c>
      <c r="B223" s="9" t="s">
        <v>238</v>
      </c>
      <c r="C223" s="10" t="s">
        <v>239</v>
      </c>
      <c r="D223" s="1721" t="s">
        <v>3060</v>
      </c>
      <c r="E223" s="1728"/>
      <c r="F223" s="1723">
        <f t="shared" si="58"/>
        <v>1.0209999999999999</v>
      </c>
      <c r="G223" s="1729">
        <f>+$G$3</f>
        <v>1.0269999999999999</v>
      </c>
      <c r="H223" s="1728"/>
      <c r="I223" s="1730"/>
      <c r="J223" s="1730"/>
      <c r="K223" s="1730"/>
      <c r="L223" s="1730"/>
      <c r="M223" s="1730"/>
      <c r="N223" s="1729"/>
      <c r="O223" s="1731"/>
      <c r="P223" s="1728">
        <f>+$P$3</f>
        <v>1.032</v>
      </c>
      <c r="Q223" s="1729">
        <f>+$Q$3</f>
        <v>1.0349999999999999</v>
      </c>
      <c r="R223" s="1732">
        <f t="shared" si="59"/>
        <v>1.1199953840399997</v>
      </c>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c r="CA223" s="8"/>
      <c r="CB223" s="8"/>
      <c r="CC223" s="8"/>
      <c r="CD223" s="8"/>
      <c r="CE223" s="8"/>
      <c r="CF223" s="8"/>
      <c r="CG223" s="8"/>
      <c r="CH223" s="8"/>
      <c r="CI223" s="8"/>
      <c r="CJ223" s="8"/>
      <c r="CK223" s="8"/>
      <c r="CL223" s="8"/>
      <c r="CM223" s="8"/>
      <c r="CN223" s="8"/>
      <c r="CO223" s="8"/>
      <c r="CP223" s="8"/>
      <c r="CQ223" s="8"/>
      <c r="CR223" s="8"/>
      <c r="CS223" s="8"/>
      <c r="CT223" s="8"/>
      <c r="CU223" s="8"/>
      <c r="CV223" s="8"/>
      <c r="CW223" s="8"/>
      <c r="CX223" s="8"/>
      <c r="CY223" s="8"/>
      <c r="CZ223" s="8"/>
      <c r="DA223" s="8"/>
      <c r="DB223" s="8"/>
      <c r="DC223" s="8"/>
      <c r="DD223" s="8"/>
      <c r="DE223" s="8"/>
      <c r="DF223" s="8"/>
      <c r="DG223" s="8"/>
      <c r="DH223" s="8"/>
      <c r="DI223" s="8"/>
      <c r="DJ223" s="8"/>
      <c r="DK223" s="8"/>
      <c r="DL223" s="8"/>
      <c r="DM223" s="8"/>
      <c r="DN223" s="8"/>
      <c r="DO223" s="8"/>
      <c r="DP223" s="8"/>
      <c r="DQ223" s="8"/>
      <c r="DR223" s="8"/>
      <c r="DS223" s="8"/>
      <c r="DT223" s="8"/>
      <c r="DU223" s="8"/>
      <c r="DV223" s="8"/>
      <c r="DW223" s="8"/>
      <c r="DX223" s="8"/>
      <c r="DY223" s="8"/>
      <c r="DZ223" s="8"/>
      <c r="EA223" s="8"/>
      <c r="EB223" s="8"/>
      <c r="EC223" s="8"/>
      <c r="ED223" s="8"/>
      <c r="EE223" s="8"/>
      <c r="EF223" s="8"/>
      <c r="EG223" s="8"/>
      <c r="EH223" s="8"/>
      <c r="EI223" s="8"/>
      <c r="EJ223" s="8"/>
      <c r="EK223" s="8"/>
      <c r="EL223" s="8"/>
      <c r="EM223" s="8"/>
      <c r="EN223" s="8"/>
      <c r="EO223" s="8"/>
      <c r="EP223" s="8"/>
      <c r="EQ223" s="8"/>
      <c r="ER223" s="8"/>
      <c r="ES223" s="8"/>
      <c r="ET223" s="8"/>
      <c r="EU223" s="8"/>
      <c r="EV223" s="8"/>
      <c r="EW223" s="8"/>
      <c r="EX223" s="8"/>
      <c r="EY223" s="8"/>
      <c r="EZ223" s="8"/>
      <c r="FA223" s="8"/>
      <c r="FB223" s="8"/>
      <c r="FC223" s="8"/>
      <c r="FD223" s="8"/>
      <c r="FE223" s="8"/>
      <c r="FF223" s="8"/>
      <c r="FG223" s="8"/>
      <c r="FH223" s="8"/>
      <c r="FI223" s="8"/>
      <c r="FJ223" s="8"/>
      <c r="FK223" s="8"/>
      <c r="FL223" s="8"/>
      <c r="FM223" s="8"/>
      <c r="FN223" s="8"/>
      <c r="FO223" s="8"/>
      <c r="FP223" s="8"/>
      <c r="FQ223" s="8"/>
      <c r="FR223" s="8"/>
      <c r="FS223" s="8"/>
      <c r="FT223" s="8"/>
      <c r="FU223" s="8"/>
      <c r="FV223" s="8"/>
      <c r="FW223" s="8"/>
      <c r="FX223" s="8"/>
      <c r="FY223" s="8"/>
      <c r="FZ223" s="8"/>
      <c r="GA223" s="8"/>
      <c r="GB223" s="8"/>
      <c r="GC223" s="8"/>
      <c r="GD223" s="8"/>
      <c r="GE223" s="8"/>
      <c r="GF223" s="8"/>
      <c r="GG223" s="8"/>
      <c r="GH223" s="8"/>
      <c r="GI223" s="8"/>
      <c r="GJ223" s="8"/>
      <c r="GK223" s="8"/>
      <c r="GL223" s="8"/>
      <c r="GM223" s="8"/>
      <c r="GN223" s="8"/>
      <c r="GO223" s="8"/>
      <c r="GP223" s="8"/>
      <c r="GQ223" s="8"/>
      <c r="GR223" s="8"/>
      <c r="GS223" s="8"/>
      <c r="GT223" s="8"/>
      <c r="GU223" s="8"/>
      <c r="GV223" s="8"/>
      <c r="GW223" s="8"/>
      <c r="GX223" s="8"/>
      <c r="GY223" s="8"/>
      <c r="GZ223" s="8"/>
      <c r="HA223" s="8"/>
      <c r="HB223" s="8"/>
      <c r="HC223" s="8"/>
      <c r="HD223" s="8"/>
      <c r="HE223" s="8"/>
      <c r="HF223" s="8"/>
      <c r="HG223" s="8"/>
      <c r="HH223" s="8"/>
      <c r="HI223" s="8"/>
      <c r="HJ223" s="8"/>
      <c r="HK223" s="8"/>
      <c r="HL223" s="8"/>
      <c r="HM223" s="8"/>
      <c r="HN223" s="8"/>
      <c r="HO223" s="8"/>
      <c r="HP223" s="8"/>
      <c r="HQ223" s="8"/>
      <c r="HR223" s="8"/>
      <c r="HS223" s="8"/>
      <c r="HT223" s="8"/>
      <c r="HU223" s="8"/>
      <c r="HV223" s="8"/>
      <c r="HW223" s="8"/>
      <c r="HX223" s="8"/>
      <c r="HY223" s="8"/>
      <c r="HZ223" s="8"/>
      <c r="IA223" s="8"/>
      <c r="IB223" s="8"/>
      <c r="IC223" s="8"/>
      <c r="ID223" s="8"/>
      <c r="IE223" s="8"/>
      <c r="IF223" s="8"/>
      <c r="IG223" s="8"/>
      <c r="IH223" s="8"/>
      <c r="II223" s="8"/>
      <c r="IJ223" s="8"/>
      <c r="IK223" s="8"/>
      <c r="IL223" s="8"/>
      <c r="IM223" s="8"/>
    </row>
    <row r="224" spans="1:247" x14ac:dyDescent="0.25">
      <c r="A224" s="4">
        <v>8333</v>
      </c>
      <c r="B224" s="9" t="s">
        <v>240</v>
      </c>
      <c r="C224" s="10" t="s">
        <v>35</v>
      </c>
      <c r="D224" s="1721" t="s">
        <v>3060</v>
      </c>
      <c r="E224" s="1728"/>
      <c r="F224" s="1723">
        <f t="shared" si="58"/>
        <v>1.0209999999999999</v>
      </c>
      <c r="G224" s="1729">
        <f>+$G$3</f>
        <v>1.0269999999999999</v>
      </c>
      <c r="H224" s="1728"/>
      <c r="I224" s="1730"/>
      <c r="J224" s="1730"/>
      <c r="K224" s="1730"/>
      <c r="L224" s="1730"/>
      <c r="M224" s="1730"/>
      <c r="N224" s="1729"/>
      <c r="O224" s="1731"/>
      <c r="P224" s="1728">
        <f>+$P$3</f>
        <v>1.032</v>
      </c>
      <c r="Q224" s="1729">
        <f>+$Q$3</f>
        <v>1.0349999999999999</v>
      </c>
      <c r="R224" s="1732">
        <f t="shared" si="59"/>
        <v>1.1199953840399997</v>
      </c>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c r="DL224" s="8"/>
      <c r="DM224" s="8"/>
      <c r="DN224" s="8"/>
      <c r="DO224" s="8"/>
      <c r="DP224" s="8"/>
      <c r="DQ224" s="8"/>
      <c r="DR224" s="8"/>
      <c r="DS224" s="8"/>
      <c r="DT224" s="8"/>
      <c r="DU224" s="8"/>
      <c r="DV224" s="8"/>
      <c r="DW224" s="8"/>
      <c r="DX224" s="8"/>
      <c r="DY224" s="8"/>
      <c r="DZ224" s="8"/>
      <c r="EA224" s="8"/>
      <c r="EB224" s="8"/>
      <c r="EC224" s="8"/>
      <c r="ED224" s="8"/>
      <c r="EE224" s="8"/>
      <c r="EF224" s="8"/>
      <c r="EG224" s="8"/>
      <c r="EH224" s="8"/>
      <c r="EI224" s="8"/>
      <c r="EJ224" s="8"/>
      <c r="EK224" s="8"/>
      <c r="EL224" s="8"/>
      <c r="EM224" s="8"/>
      <c r="EN224" s="8"/>
      <c r="EO224" s="8"/>
      <c r="EP224" s="8"/>
      <c r="EQ224" s="8"/>
      <c r="ER224" s="8"/>
      <c r="ES224" s="8"/>
      <c r="ET224" s="8"/>
      <c r="EU224" s="8"/>
      <c r="EV224" s="8"/>
      <c r="EW224" s="8"/>
      <c r="EX224" s="8"/>
      <c r="EY224" s="8"/>
      <c r="EZ224" s="8"/>
      <c r="FA224" s="8"/>
      <c r="FB224" s="8"/>
      <c r="FC224" s="8"/>
      <c r="FD224" s="8"/>
      <c r="FE224" s="8"/>
      <c r="FF224" s="8"/>
      <c r="FG224" s="8"/>
      <c r="FH224" s="8"/>
      <c r="FI224" s="8"/>
      <c r="FJ224" s="8"/>
      <c r="FK224" s="8"/>
      <c r="FL224" s="8"/>
      <c r="FM224" s="8"/>
      <c r="FN224" s="8"/>
      <c r="FO224" s="8"/>
      <c r="FP224" s="8"/>
      <c r="FQ224" s="8"/>
      <c r="FR224" s="8"/>
      <c r="FS224" s="8"/>
      <c r="FT224" s="8"/>
      <c r="FU224" s="8"/>
      <c r="FV224" s="8"/>
      <c r="FW224" s="8"/>
      <c r="FX224" s="8"/>
      <c r="FY224" s="8"/>
      <c r="FZ224" s="8"/>
      <c r="GA224" s="8"/>
      <c r="GB224" s="8"/>
      <c r="GC224" s="8"/>
      <c r="GD224" s="8"/>
      <c r="GE224" s="8"/>
      <c r="GF224" s="8"/>
      <c r="GG224" s="8"/>
      <c r="GH224" s="8"/>
      <c r="GI224" s="8"/>
      <c r="GJ224" s="8"/>
      <c r="GK224" s="8"/>
      <c r="GL224" s="8"/>
      <c r="GM224" s="8"/>
      <c r="GN224" s="8"/>
      <c r="GO224" s="8"/>
      <c r="GP224" s="8"/>
      <c r="GQ224" s="8"/>
      <c r="GR224" s="8"/>
      <c r="GS224" s="8"/>
      <c r="GT224" s="8"/>
      <c r="GU224" s="8"/>
      <c r="GV224" s="8"/>
      <c r="GW224" s="8"/>
      <c r="GX224" s="8"/>
      <c r="GY224" s="8"/>
      <c r="GZ224" s="8"/>
      <c r="HA224" s="8"/>
      <c r="HB224" s="8"/>
      <c r="HC224" s="8"/>
      <c r="HD224" s="8"/>
      <c r="HE224" s="8"/>
      <c r="HF224" s="8"/>
      <c r="HG224" s="8"/>
      <c r="HH224" s="8"/>
      <c r="HI224" s="8"/>
      <c r="HJ224" s="8"/>
      <c r="HK224" s="8"/>
      <c r="HL224" s="8"/>
      <c r="HM224" s="8"/>
      <c r="HN224" s="8"/>
      <c r="HO224" s="8"/>
      <c r="HP224" s="8"/>
      <c r="HQ224" s="8"/>
      <c r="HR224" s="8"/>
      <c r="HS224" s="8"/>
      <c r="HT224" s="8"/>
      <c r="HU224" s="8"/>
      <c r="HV224" s="8"/>
      <c r="HW224" s="8"/>
      <c r="HX224" s="8"/>
      <c r="HY224" s="8"/>
      <c r="HZ224" s="8"/>
      <c r="IA224" s="8"/>
      <c r="IB224" s="8"/>
      <c r="IC224" s="8"/>
      <c r="ID224" s="8"/>
      <c r="IE224" s="8"/>
      <c r="IF224" s="8"/>
      <c r="IG224" s="8"/>
      <c r="IH224" s="8"/>
      <c r="II224" s="8"/>
      <c r="IJ224" s="8"/>
      <c r="IK224" s="8"/>
      <c r="IL224" s="8"/>
      <c r="IM224" s="8"/>
    </row>
    <row r="225" spans="1:247" x14ac:dyDescent="0.25">
      <c r="A225" s="4">
        <v>8334</v>
      </c>
      <c r="B225" s="9" t="s">
        <v>242</v>
      </c>
      <c r="C225" s="10" t="s">
        <v>35</v>
      </c>
      <c r="D225" s="1721" t="s">
        <v>3060</v>
      </c>
      <c r="E225" s="1728"/>
      <c r="F225" s="1723">
        <f t="shared" si="58"/>
        <v>1.0209999999999999</v>
      </c>
      <c r="G225" s="1729">
        <f>+$G$3</f>
        <v>1.0269999999999999</v>
      </c>
      <c r="H225" s="1728"/>
      <c r="I225" s="1730"/>
      <c r="J225" s="1730"/>
      <c r="K225" s="1730"/>
      <c r="L225" s="1730"/>
      <c r="M225" s="1730"/>
      <c r="N225" s="1729"/>
      <c r="O225" s="1731"/>
      <c r="P225" s="1728">
        <f>+$P$3</f>
        <v>1.032</v>
      </c>
      <c r="Q225" s="1729">
        <f>+$Q$3</f>
        <v>1.0349999999999999</v>
      </c>
      <c r="R225" s="1732">
        <f t="shared" si="59"/>
        <v>1.1199953840399997</v>
      </c>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c r="CA225" s="8"/>
      <c r="CB225" s="8"/>
      <c r="CC225" s="8"/>
      <c r="CD225" s="8"/>
      <c r="CE225" s="8"/>
      <c r="CF225" s="8"/>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8"/>
      <c r="DS225" s="8"/>
      <c r="DT225" s="8"/>
      <c r="DU225" s="8"/>
      <c r="DV225" s="8"/>
      <c r="DW225" s="8"/>
      <c r="DX225" s="8"/>
      <c r="DY225" s="8"/>
      <c r="DZ225" s="8"/>
      <c r="EA225" s="8"/>
      <c r="EB225" s="8"/>
      <c r="EC225" s="8"/>
      <c r="ED225" s="8"/>
      <c r="EE225" s="8"/>
      <c r="EF225" s="8"/>
      <c r="EG225" s="8"/>
      <c r="EH225" s="8"/>
      <c r="EI225" s="8"/>
      <c r="EJ225" s="8"/>
      <c r="EK225" s="8"/>
      <c r="EL225" s="8"/>
      <c r="EM225" s="8"/>
      <c r="EN225" s="8"/>
      <c r="EO225" s="8"/>
      <c r="EP225" s="8"/>
      <c r="EQ225" s="8"/>
      <c r="ER225" s="8"/>
      <c r="ES225" s="8"/>
      <c r="ET225" s="8"/>
      <c r="EU225" s="8"/>
      <c r="EV225" s="8"/>
      <c r="EW225" s="8"/>
      <c r="EX225" s="8"/>
      <c r="EY225" s="8"/>
      <c r="EZ225" s="8"/>
      <c r="FA225" s="8"/>
      <c r="FB225" s="8"/>
      <c r="FC225" s="8"/>
      <c r="FD225" s="8"/>
      <c r="FE225" s="8"/>
      <c r="FF225" s="8"/>
      <c r="FG225" s="8"/>
      <c r="FH225" s="8"/>
      <c r="FI225" s="8"/>
      <c r="FJ225" s="8"/>
      <c r="FK225" s="8"/>
      <c r="FL225" s="8"/>
      <c r="FM225" s="8"/>
      <c r="FN225" s="8"/>
      <c r="FO225" s="8"/>
      <c r="FP225" s="8"/>
      <c r="FQ225" s="8"/>
      <c r="FR225" s="8"/>
      <c r="FS225" s="8"/>
      <c r="FT225" s="8"/>
      <c r="FU225" s="8"/>
      <c r="FV225" s="8"/>
      <c r="FW225" s="8"/>
      <c r="FX225" s="8"/>
      <c r="FY225" s="8"/>
      <c r="FZ225" s="8"/>
      <c r="GA225" s="8"/>
      <c r="GB225" s="8"/>
      <c r="GC225" s="8"/>
      <c r="GD225" s="8"/>
      <c r="GE225" s="8"/>
      <c r="GF225" s="8"/>
      <c r="GG225" s="8"/>
      <c r="GH225" s="8"/>
      <c r="GI225" s="8"/>
      <c r="GJ225" s="8"/>
      <c r="GK225" s="8"/>
      <c r="GL225" s="8"/>
      <c r="GM225" s="8"/>
      <c r="GN225" s="8"/>
      <c r="GO225" s="8"/>
      <c r="GP225" s="8"/>
      <c r="GQ225" s="8"/>
      <c r="GR225" s="8"/>
      <c r="GS225" s="8"/>
      <c r="GT225" s="8"/>
      <c r="GU225" s="8"/>
      <c r="GV225" s="8"/>
      <c r="GW225" s="8"/>
      <c r="GX225" s="8"/>
      <c r="GY225" s="8"/>
      <c r="GZ225" s="8"/>
      <c r="HA225" s="8"/>
      <c r="HB225" s="8"/>
      <c r="HC225" s="8"/>
      <c r="HD225" s="8"/>
      <c r="HE225" s="8"/>
      <c r="HF225" s="8"/>
      <c r="HG225" s="8"/>
      <c r="HH225" s="8"/>
      <c r="HI225" s="8"/>
      <c r="HJ225" s="8"/>
      <c r="HK225" s="8"/>
      <c r="HL225" s="8"/>
      <c r="HM225" s="8"/>
      <c r="HN225" s="8"/>
      <c r="HO225" s="8"/>
      <c r="HP225" s="8"/>
      <c r="HQ225" s="8"/>
      <c r="HR225" s="8"/>
      <c r="HS225" s="8"/>
      <c r="HT225" s="8"/>
      <c r="HU225" s="8"/>
      <c r="HV225" s="8"/>
      <c r="HW225" s="8"/>
      <c r="HX225" s="8"/>
      <c r="HY225" s="8"/>
      <c r="HZ225" s="8"/>
      <c r="IA225" s="8"/>
      <c r="IB225" s="8"/>
      <c r="IC225" s="8"/>
      <c r="ID225" s="8"/>
      <c r="IE225" s="8"/>
      <c r="IF225" s="8"/>
      <c r="IG225" s="8"/>
      <c r="IH225" s="8"/>
      <c r="II225" s="8"/>
      <c r="IJ225" s="8"/>
      <c r="IK225" s="8"/>
      <c r="IL225" s="8"/>
      <c r="IM225" s="8"/>
    </row>
    <row r="226" spans="1:247" x14ac:dyDescent="0.25">
      <c r="A226" s="4">
        <v>8412</v>
      </c>
      <c r="B226" s="9" t="s">
        <v>243</v>
      </c>
      <c r="C226" s="10" t="s">
        <v>231</v>
      </c>
      <c r="D226" s="1721" t="s">
        <v>3060</v>
      </c>
      <c r="E226" s="1728"/>
      <c r="F226" s="1723">
        <f t="shared" si="58"/>
        <v>1.0209999999999999</v>
      </c>
      <c r="G226" s="1729">
        <f>+$G$3</f>
        <v>1.0269999999999999</v>
      </c>
      <c r="H226" s="1728"/>
      <c r="I226" s="1730"/>
      <c r="J226" s="1730"/>
      <c r="K226" s="1730"/>
      <c r="L226" s="1730"/>
      <c r="M226" s="1730"/>
      <c r="N226" s="1729"/>
      <c r="O226" s="1731"/>
      <c r="P226" s="1728">
        <f>+$P$3</f>
        <v>1.032</v>
      </c>
      <c r="Q226" s="1729">
        <f>+$Q$3</f>
        <v>1.0349999999999999</v>
      </c>
      <c r="R226" s="1732">
        <f t="shared" si="59"/>
        <v>1.1199953840399997</v>
      </c>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c r="CA226" s="8"/>
      <c r="CB226" s="8"/>
      <c r="CC226" s="8"/>
      <c r="CD226" s="8"/>
      <c r="CE226" s="8"/>
      <c r="CF226" s="8"/>
      <c r="CG226" s="8"/>
      <c r="CH226" s="8"/>
      <c r="CI226" s="8"/>
      <c r="CJ226" s="8"/>
      <c r="CK226" s="8"/>
      <c r="CL226" s="8"/>
      <c r="CM226" s="8"/>
      <c r="CN226" s="8"/>
      <c r="CO226" s="8"/>
      <c r="CP226" s="8"/>
      <c r="CQ226" s="8"/>
      <c r="CR226" s="8"/>
      <c r="CS226" s="8"/>
      <c r="CT226" s="8"/>
      <c r="CU226" s="8"/>
      <c r="CV226" s="8"/>
      <c r="CW226" s="8"/>
      <c r="CX226" s="8"/>
      <c r="CY226" s="8"/>
      <c r="CZ226" s="8"/>
      <c r="DA226" s="8"/>
      <c r="DB226" s="8"/>
      <c r="DC226" s="8"/>
      <c r="DD226" s="8"/>
      <c r="DE226" s="8"/>
      <c r="DF226" s="8"/>
      <c r="DG226" s="8"/>
      <c r="DH226" s="8"/>
      <c r="DI226" s="8"/>
      <c r="DJ226" s="8"/>
      <c r="DK226" s="8"/>
      <c r="DL226" s="8"/>
      <c r="DM226" s="8"/>
      <c r="DN226" s="8"/>
      <c r="DO226" s="8"/>
      <c r="DP226" s="8"/>
      <c r="DQ226" s="8"/>
      <c r="DR226" s="8"/>
      <c r="DS226" s="8"/>
      <c r="DT226" s="8"/>
      <c r="DU226" s="8"/>
      <c r="DV226" s="8"/>
      <c r="DW226" s="8"/>
      <c r="DX226" s="8"/>
      <c r="DY226" s="8"/>
      <c r="DZ226" s="8"/>
      <c r="EA226" s="8"/>
      <c r="EB226" s="8"/>
      <c r="EC226" s="8"/>
      <c r="ED226" s="8"/>
      <c r="EE226" s="8"/>
      <c r="EF226" s="8"/>
      <c r="EG226" s="8"/>
      <c r="EH226" s="8"/>
      <c r="EI226" s="8"/>
      <c r="EJ226" s="8"/>
      <c r="EK226" s="8"/>
      <c r="EL226" s="8"/>
      <c r="EM226" s="8"/>
      <c r="EN226" s="8"/>
      <c r="EO226" s="8"/>
      <c r="EP226" s="8"/>
      <c r="EQ226" s="8"/>
      <c r="ER226" s="8"/>
      <c r="ES226" s="8"/>
      <c r="ET226" s="8"/>
      <c r="EU226" s="8"/>
      <c r="EV226" s="8"/>
      <c r="EW226" s="8"/>
      <c r="EX226" s="8"/>
      <c r="EY226" s="8"/>
      <c r="EZ226" s="8"/>
      <c r="FA226" s="8"/>
      <c r="FB226" s="8"/>
      <c r="FC226" s="8"/>
      <c r="FD226" s="8"/>
      <c r="FE226" s="8"/>
      <c r="FF226" s="8"/>
      <c r="FG226" s="8"/>
      <c r="FH226" s="8"/>
      <c r="FI226" s="8"/>
      <c r="FJ226" s="8"/>
      <c r="FK226" s="8"/>
      <c r="FL226" s="8"/>
      <c r="FM226" s="8"/>
      <c r="FN226" s="8"/>
      <c r="FO226" s="8"/>
      <c r="FP226" s="8"/>
      <c r="FQ226" s="8"/>
      <c r="FR226" s="8"/>
      <c r="FS226" s="8"/>
      <c r="FT226" s="8"/>
      <c r="FU226" s="8"/>
      <c r="FV226" s="8"/>
      <c r="FW226" s="8"/>
      <c r="FX226" s="8"/>
      <c r="FY226" s="8"/>
      <c r="FZ226" s="8"/>
      <c r="GA226" s="8"/>
      <c r="GB226" s="8"/>
      <c r="GC226" s="8"/>
      <c r="GD226" s="8"/>
      <c r="GE226" s="8"/>
      <c r="GF226" s="8"/>
      <c r="GG226" s="8"/>
      <c r="GH226" s="8"/>
      <c r="GI226" s="8"/>
      <c r="GJ226" s="8"/>
      <c r="GK226" s="8"/>
      <c r="GL226" s="8"/>
      <c r="GM226" s="8"/>
      <c r="GN226" s="8"/>
      <c r="GO226" s="8"/>
      <c r="GP226" s="8"/>
      <c r="GQ226" s="8"/>
      <c r="GR226" s="8"/>
      <c r="GS226" s="8"/>
      <c r="GT226" s="8"/>
      <c r="GU226" s="8"/>
      <c r="GV226" s="8"/>
      <c r="GW226" s="8"/>
      <c r="GX226" s="8"/>
      <c r="GY226" s="8"/>
      <c r="GZ226" s="8"/>
      <c r="HA226" s="8"/>
      <c r="HB226" s="8"/>
      <c r="HC226" s="8"/>
      <c r="HD226" s="8"/>
      <c r="HE226" s="8"/>
      <c r="HF226" s="8"/>
      <c r="HG226" s="8"/>
      <c r="HH226" s="8"/>
      <c r="HI226" s="8"/>
      <c r="HJ226" s="8"/>
      <c r="HK226" s="8"/>
      <c r="HL226" s="8"/>
      <c r="HM226" s="8"/>
      <c r="HN226" s="8"/>
      <c r="HO226" s="8"/>
      <c r="HP226" s="8"/>
      <c r="HQ226" s="8"/>
      <c r="HR226" s="8"/>
      <c r="HS226" s="8"/>
      <c r="HT226" s="8"/>
      <c r="HU226" s="8"/>
      <c r="HV226" s="8"/>
      <c r="HW226" s="8"/>
      <c r="HX226" s="8"/>
      <c r="HY226" s="8"/>
      <c r="HZ226" s="8"/>
      <c r="IA226" s="8"/>
      <c r="IB226" s="8"/>
      <c r="IC226" s="8"/>
      <c r="ID226" s="8"/>
      <c r="IE226" s="8"/>
      <c r="IF226" s="8"/>
      <c r="IG226" s="8"/>
      <c r="IH226" s="8"/>
      <c r="II226" s="8"/>
      <c r="IJ226" s="8"/>
      <c r="IK226" s="8"/>
      <c r="IL226" s="8"/>
      <c r="IM226" s="8"/>
    </row>
    <row r="227" spans="1:247" x14ac:dyDescent="0.25">
      <c r="A227" s="4">
        <v>8413</v>
      </c>
      <c r="B227" s="9" t="s">
        <v>244</v>
      </c>
      <c r="C227" s="10" t="s">
        <v>6</v>
      </c>
      <c r="D227" s="1721" t="s">
        <v>3060</v>
      </c>
      <c r="E227" s="1728"/>
      <c r="F227" s="1723">
        <f t="shared" si="58"/>
        <v>1.0209999999999999</v>
      </c>
      <c r="G227" s="1729"/>
      <c r="H227" s="1728"/>
      <c r="I227" s="1730"/>
      <c r="J227" s="1730"/>
      <c r="K227" s="1730"/>
      <c r="L227" s="1730"/>
      <c r="M227" s="1730"/>
      <c r="N227" s="1729"/>
      <c r="O227" s="1731"/>
      <c r="P227" s="1728">
        <f>+$P$3</f>
        <v>1.032</v>
      </c>
      <c r="Q227" s="1729">
        <f>+$Q$3</f>
        <v>1.0349999999999999</v>
      </c>
      <c r="R227" s="1732">
        <f t="shared" si="59"/>
        <v>1.0905505199999999</v>
      </c>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8"/>
      <c r="DZ227" s="8"/>
      <c r="EA227" s="8"/>
      <c r="EB227" s="8"/>
      <c r="EC227" s="8"/>
      <c r="ED227" s="8"/>
      <c r="EE227" s="8"/>
      <c r="EF227" s="8"/>
      <c r="EG227" s="8"/>
      <c r="EH227" s="8"/>
      <c r="EI227" s="8"/>
      <c r="EJ227" s="8"/>
      <c r="EK227" s="8"/>
      <c r="EL227" s="8"/>
      <c r="EM227" s="8"/>
      <c r="EN227" s="8"/>
      <c r="EO227" s="8"/>
      <c r="EP227" s="8"/>
      <c r="EQ227" s="8"/>
      <c r="ER227" s="8"/>
      <c r="ES227" s="8"/>
      <c r="ET227" s="8"/>
      <c r="EU227" s="8"/>
      <c r="EV227" s="8"/>
      <c r="EW227" s="8"/>
      <c r="EX227" s="8"/>
      <c r="EY227" s="8"/>
      <c r="EZ227" s="8"/>
      <c r="FA227" s="8"/>
      <c r="FB227" s="8"/>
      <c r="FC227" s="8"/>
      <c r="FD227" s="8"/>
      <c r="FE227" s="8"/>
      <c r="FF227" s="8"/>
      <c r="FG227" s="8"/>
      <c r="FH227" s="8"/>
      <c r="FI227" s="8"/>
      <c r="FJ227" s="8"/>
      <c r="FK227" s="8"/>
      <c r="FL227" s="8"/>
      <c r="FM227" s="8"/>
      <c r="FN227" s="8"/>
      <c r="FO227" s="8"/>
      <c r="FP227" s="8"/>
      <c r="FQ227" s="8"/>
      <c r="FR227" s="8"/>
      <c r="FS227" s="8"/>
      <c r="FT227" s="8"/>
      <c r="FU227" s="8"/>
      <c r="FV227" s="8"/>
      <c r="FW227" s="8"/>
      <c r="FX227" s="8"/>
      <c r="FY227" s="8"/>
      <c r="FZ227" s="8"/>
      <c r="GA227" s="8"/>
      <c r="GB227" s="8"/>
      <c r="GC227" s="8"/>
      <c r="GD227" s="8"/>
      <c r="GE227" s="8"/>
      <c r="GF227" s="8"/>
      <c r="GG227" s="8"/>
      <c r="GH227" s="8"/>
      <c r="GI227" s="8"/>
      <c r="GJ227" s="8"/>
      <c r="GK227" s="8"/>
      <c r="GL227" s="8"/>
      <c r="GM227" s="8"/>
      <c r="GN227" s="8"/>
      <c r="GO227" s="8"/>
      <c r="GP227" s="8"/>
      <c r="GQ227" s="8"/>
      <c r="GR227" s="8"/>
      <c r="GS227" s="8"/>
      <c r="GT227" s="8"/>
      <c r="GU227" s="8"/>
      <c r="GV227" s="8"/>
      <c r="GW227" s="8"/>
      <c r="GX227" s="8"/>
      <c r="GY227" s="8"/>
      <c r="GZ227" s="8"/>
      <c r="HA227" s="8"/>
      <c r="HB227" s="8"/>
      <c r="HC227" s="8"/>
      <c r="HD227" s="8"/>
      <c r="HE227" s="8"/>
      <c r="HF227" s="8"/>
      <c r="HG227" s="8"/>
      <c r="HH227" s="8"/>
      <c r="HI227" s="8"/>
      <c r="HJ227" s="8"/>
      <c r="HK227" s="8"/>
      <c r="HL227" s="8"/>
      <c r="HM227" s="8"/>
      <c r="HN227" s="8"/>
      <c r="HO227" s="8"/>
      <c r="HP227" s="8"/>
      <c r="HQ227" s="8"/>
      <c r="HR227" s="8"/>
      <c r="HS227" s="8"/>
      <c r="HT227" s="8"/>
      <c r="HU227" s="8"/>
      <c r="HV227" s="8"/>
      <c r="HW227" s="8"/>
      <c r="HX227" s="8"/>
      <c r="HY227" s="8"/>
      <c r="HZ227" s="8"/>
      <c r="IA227" s="8"/>
      <c r="IB227" s="8"/>
      <c r="IC227" s="8"/>
      <c r="ID227" s="8"/>
      <c r="IE227" s="8"/>
      <c r="IF227" s="8"/>
      <c r="IG227" s="8"/>
      <c r="IH227" s="8"/>
      <c r="II227" s="8"/>
      <c r="IJ227" s="8"/>
      <c r="IK227" s="8"/>
      <c r="IL227" s="8"/>
      <c r="IM227" s="8"/>
    </row>
    <row r="228" spans="1:247" x14ac:dyDescent="0.25">
      <c r="A228" s="4">
        <v>8414</v>
      </c>
      <c r="B228" s="9" t="s">
        <v>245</v>
      </c>
      <c r="C228" s="10" t="s">
        <v>231</v>
      </c>
      <c r="D228" s="1721" t="s">
        <v>3060</v>
      </c>
      <c r="E228" s="1728"/>
      <c r="F228" s="1723">
        <f t="shared" si="58"/>
        <v>1.0209999999999999</v>
      </c>
      <c r="G228" s="1729"/>
      <c r="H228" s="1728"/>
      <c r="I228" s="1730"/>
      <c r="J228" s="1730"/>
      <c r="K228" s="1730"/>
      <c r="L228" s="1730"/>
      <c r="M228" s="1730"/>
      <c r="N228" s="1729"/>
      <c r="O228" s="1731"/>
      <c r="P228" s="1728"/>
      <c r="Q228" s="1729"/>
      <c r="R228" s="1732">
        <f t="shared" si="59"/>
        <v>1.0209999999999999</v>
      </c>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c r="CA228" s="8"/>
      <c r="CB228" s="8"/>
      <c r="CC228" s="8"/>
      <c r="CD228" s="8"/>
      <c r="CE228" s="8"/>
      <c r="CF228" s="8"/>
      <c r="CG228" s="8"/>
      <c r="CH228" s="8"/>
      <c r="CI228" s="8"/>
      <c r="CJ228" s="8"/>
      <c r="CK228" s="8"/>
      <c r="CL228" s="8"/>
      <c r="CM228" s="8"/>
      <c r="CN228" s="8"/>
      <c r="CO228" s="8"/>
      <c r="CP228" s="8"/>
      <c r="CQ228" s="8"/>
      <c r="CR228" s="8"/>
      <c r="CS228" s="8"/>
      <c r="CT228" s="8"/>
      <c r="CU228" s="8"/>
      <c r="CV228" s="8"/>
      <c r="CW228" s="8"/>
      <c r="CX228" s="8"/>
      <c r="CY228" s="8"/>
      <c r="CZ228" s="8"/>
      <c r="DA228" s="8"/>
      <c r="DB228" s="8"/>
      <c r="DC228" s="8"/>
      <c r="DD228" s="8"/>
      <c r="DE228" s="8"/>
      <c r="DF228" s="8"/>
      <c r="DG228" s="8"/>
      <c r="DH228" s="8"/>
      <c r="DI228" s="8"/>
      <c r="DJ228" s="8"/>
      <c r="DK228" s="8"/>
      <c r="DL228" s="8"/>
      <c r="DM228" s="8"/>
      <c r="DN228" s="8"/>
      <c r="DO228" s="8"/>
      <c r="DP228" s="8"/>
      <c r="DQ228" s="8"/>
      <c r="DR228" s="8"/>
      <c r="DS228" s="8"/>
      <c r="DT228" s="8"/>
      <c r="DU228" s="8"/>
      <c r="DV228" s="8"/>
      <c r="DW228" s="8"/>
      <c r="DX228" s="8"/>
      <c r="DY228" s="8"/>
      <c r="DZ228" s="8"/>
      <c r="EA228" s="8"/>
      <c r="EB228" s="8"/>
      <c r="EC228" s="8"/>
      <c r="ED228" s="8"/>
      <c r="EE228" s="8"/>
      <c r="EF228" s="8"/>
      <c r="EG228" s="8"/>
      <c r="EH228" s="8"/>
      <c r="EI228" s="8"/>
      <c r="EJ228" s="8"/>
      <c r="EK228" s="8"/>
      <c r="EL228" s="8"/>
      <c r="EM228" s="8"/>
      <c r="EN228" s="8"/>
      <c r="EO228" s="8"/>
      <c r="EP228" s="8"/>
      <c r="EQ228" s="8"/>
      <c r="ER228" s="8"/>
      <c r="ES228" s="8"/>
      <c r="ET228" s="8"/>
      <c r="EU228" s="8"/>
      <c r="EV228" s="8"/>
      <c r="EW228" s="8"/>
      <c r="EX228" s="8"/>
      <c r="EY228" s="8"/>
      <c r="EZ228" s="8"/>
      <c r="FA228" s="8"/>
      <c r="FB228" s="8"/>
      <c r="FC228" s="8"/>
      <c r="FD228" s="8"/>
      <c r="FE228" s="8"/>
      <c r="FF228" s="8"/>
      <c r="FG228" s="8"/>
      <c r="FH228" s="8"/>
      <c r="FI228" s="8"/>
      <c r="FJ228" s="8"/>
      <c r="FK228" s="8"/>
      <c r="FL228" s="8"/>
      <c r="FM228" s="8"/>
      <c r="FN228" s="8"/>
      <c r="FO228" s="8"/>
      <c r="FP228" s="8"/>
      <c r="FQ228" s="8"/>
      <c r="FR228" s="8"/>
      <c r="FS228" s="8"/>
      <c r="FT228" s="8"/>
      <c r="FU228" s="8"/>
      <c r="FV228" s="8"/>
      <c r="FW228" s="8"/>
      <c r="FX228" s="8"/>
      <c r="FY228" s="8"/>
      <c r="FZ228" s="8"/>
      <c r="GA228" s="8"/>
      <c r="GB228" s="8"/>
      <c r="GC228" s="8"/>
      <c r="GD228" s="8"/>
      <c r="GE228" s="8"/>
      <c r="GF228" s="8"/>
      <c r="GG228" s="8"/>
      <c r="GH228" s="8"/>
      <c r="GI228" s="8"/>
      <c r="GJ228" s="8"/>
      <c r="GK228" s="8"/>
      <c r="GL228" s="8"/>
      <c r="GM228" s="8"/>
      <c r="GN228" s="8"/>
      <c r="GO228" s="8"/>
      <c r="GP228" s="8"/>
      <c r="GQ228" s="8"/>
      <c r="GR228" s="8"/>
      <c r="GS228" s="8"/>
      <c r="GT228" s="8"/>
      <c r="GU228" s="8"/>
      <c r="GV228" s="8"/>
      <c r="GW228" s="8"/>
      <c r="GX228" s="8"/>
      <c r="GY228" s="8"/>
      <c r="GZ228" s="8"/>
      <c r="HA228" s="8"/>
      <c r="HB228" s="8"/>
      <c r="HC228" s="8"/>
      <c r="HD228" s="8"/>
      <c r="HE228" s="8"/>
      <c r="HF228" s="8"/>
      <c r="HG228" s="8"/>
      <c r="HH228" s="8"/>
      <c r="HI228" s="8"/>
      <c r="HJ228" s="8"/>
      <c r="HK228" s="8"/>
      <c r="HL228" s="8"/>
      <c r="HM228" s="8"/>
      <c r="HN228" s="8"/>
      <c r="HO228" s="8"/>
      <c r="HP228" s="8"/>
      <c r="HQ228" s="8"/>
      <c r="HR228" s="8"/>
      <c r="HS228" s="8"/>
      <c r="HT228" s="8"/>
      <c r="HU228" s="8"/>
      <c r="HV228" s="8"/>
      <c r="HW228" s="8"/>
      <c r="HX228" s="8"/>
      <c r="HY228" s="8"/>
      <c r="HZ228" s="8"/>
      <c r="IA228" s="8"/>
      <c r="IB228" s="8"/>
      <c r="IC228" s="8"/>
      <c r="ID228" s="8"/>
      <c r="IE228" s="8"/>
      <c r="IF228" s="8"/>
      <c r="IG228" s="8"/>
      <c r="IH228" s="8"/>
      <c r="II228" s="8"/>
      <c r="IJ228" s="8"/>
      <c r="IK228" s="8"/>
      <c r="IL228" s="8"/>
      <c r="IM228" s="8"/>
    </row>
    <row r="229" spans="1:247" x14ac:dyDescent="0.25">
      <c r="A229" s="4">
        <v>8415</v>
      </c>
      <c r="B229" s="9" t="s">
        <v>246</v>
      </c>
      <c r="C229" s="10" t="s">
        <v>231</v>
      </c>
      <c r="D229" s="1721" t="s">
        <v>3060</v>
      </c>
      <c r="E229" s="1728"/>
      <c r="F229" s="1723">
        <f t="shared" si="58"/>
        <v>1.0209999999999999</v>
      </c>
      <c r="G229" s="1729">
        <f>+$G$3</f>
        <v>1.0269999999999999</v>
      </c>
      <c r="H229" s="1728"/>
      <c r="I229" s="1730"/>
      <c r="J229" s="1730"/>
      <c r="K229" s="1730"/>
      <c r="L229" s="1730"/>
      <c r="M229" s="1730"/>
      <c r="N229" s="1729"/>
      <c r="O229" s="1731"/>
      <c r="P229" s="1728">
        <f t="shared" ref="P229:P237" si="62">+$P$3</f>
        <v>1.032</v>
      </c>
      <c r="Q229" s="1729">
        <f t="shared" ref="Q229:Q237" si="63">+$Q$3</f>
        <v>1.0349999999999999</v>
      </c>
      <c r="R229" s="1732">
        <f t="shared" si="59"/>
        <v>1.1199953840399997</v>
      </c>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c r="CA229" s="8"/>
      <c r="CB229" s="8"/>
      <c r="CC229" s="8"/>
      <c r="CD229" s="8"/>
      <c r="CE229" s="8"/>
      <c r="CF229" s="8"/>
      <c r="CG229" s="8"/>
      <c r="CH229" s="8"/>
      <c r="CI229" s="8"/>
      <c r="CJ229" s="8"/>
      <c r="CK229" s="8"/>
      <c r="CL229" s="8"/>
      <c r="CM229" s="8"/>
      <c r="CN229" s="8"/>
      <c r="CO229" s="8"/>
      <c r="CP229" s="8"/>
      <c r="CQ229" s="8"/>
      <c r="CR229" s="8"/>
      <c r="CS229" s="8"/>
      <c r="CT229" s="8"/>
      <c r="CU229" s="8"/>
      <c r="CV229" s="8"/>
      <c r="CW229" s="8"/>
      <c r="CX229" s="8"/>
      <c r="CY229" s="8"/>
      <c r="CZ229" s="8"/>
      <c r="DA229" s="8"/>
      <c r="DB229" s="8"/>
      <c r="DC229" s="8"/>
      <c r="DD229" s="8"/>
      <c r="DE229" s="8"/>
      <c r="DF229" s="8"/>
      <c r="DG229" s="8"/>
      <c r="DH229" s="8"/>
      <c r="DI229" s="8"/>
      <c r="DJ229" s="8"/>
      <c r="DK229" s="8"/>
      <c r="DL229" s="8"/>
      <c r="DM229" s="8"/>
      <c r="DN229" s="8"/>
      <c r="DO229" s="8"/>
      <c r="DP229" s="8"/>
      <c r="DQ229" s="8"/>
      <c r="DR229" s="8"/>
      <c r="DS229" s="8"/>
      <c r="DT229" s="8"/>
      <c r="DU229" s="8"/>
      <c r="DV229" s="8"/>
      <c r="DW229" s="8"/>
      <c r="DX229" s="8"/>
      <c r="DY229" s="8"/>
      <c r="DZ229" s="8"/>
      <c r="EA229" s="8"/>
      <c r="EB229" s="8"/>
      <c r="EC229" s="8"/>
      <c r="ED229" s="8"/>
      <c r="EE229" s="8"/>
      <c r="EF229" s="8"/>
      <c r="EG229" s="8"/>
      <c r="EH229" s="8"/>
      <c r="EI229" s="8"/>
      <c r="EJ229" s="8"/>
      <c r="EK229" s="8"/>
      <c r="EL229" s="8"/>
      <c r="EM229" s="8"/>
      <c r="EN229" s="8"/>
      <c r="EO229" s="8"/>
      <c r="EP229" s="8"/>
      <c r="EQ229" s="8"/>
      <c r="ER229" s="8"/>
      <c r="ES229" s="8"/>
      <c r="ET229" s="8"/>
      <c r="EU229" s="8"/>
      <c r="EV229" s="8"/>
      <c r="EW229" s="8"/>
      <c r="EX229" s="8"/>
      <c r="EY229" s="8"/>
      <c r="EZ229" s="8"/>
      <c r="FA229" s="8"/>
      <c r="FB229" s="8"/>
      <c r="FC229" s="8"/>
      <c r="FD229" s="8"/>
      <c r="FE229" s="8"/>
      <c r="FF229" s="8"/>
      <c r="FG229" s="8"/>
      <c r="FH229" s="8"/>
      <c r="FI229" s="8"/>
      <c r="FJ229" s="8"/>
      <c r="FK229" s="8"/>
      <c r="FL229" s="8"/>
      <c r="FM229" s="8"/>
      <c r="FN229" s="8"/>
      <c r="FO229" s="8"/>
      <c r="FP229" s="8"/>
      <c r="FQ229" s="8"/>
      <c r="FR229" s="8"/>
      <c r="FS229" s="8"/>
      <c r="FT229" s="8"/>
      <c r="FU229" s="8"/>
      <c r="FV229" s="8"/>
      <c r="FW229" s="8"/>
      <c r="FX229" s="8"/>
      <c r="FY229" s="8"/>
      <c r="FZ229" s="8"/>
      <c r="GA229" s="8"/>
      <c r="GB229" s="8"/>
      <c r="GC229" s="8"/>
      <c r="GD229" s="8"/>
      <c r="GE229" s="8"/>
      <c r="GF229" s="8"/>
      <c r="GG229" s="8"/>
      <c r="GH229" s="8"/>
      <c r="GI229" s="8"/>
      <c r="GJ229" s="8"/>
      <c r="GK229" s="8"/>
      <c r="GL229" s="8"/>
      <c r="GM229" s="8"/>
      <c r="GN229" s="8"/>
      <c r="GO229" s="8"/>
      <c r="GP229" s="8"/>
      <c r="GQ229" s="8"/>
      <c r="GR229" s="8"/>
      <c r="GS229" s="8"/>
      <c r="GT229" s="8"/>
      <c r="GU229" s="8"/>
      <c r="GV229" s="8"/>
      <c r="GW229" s="8"/>
      <c r="GX229" s="8"/>
      <c r="GY229" s="8"/>
      <c r="GZ229" s="8"/>
      <c r="HA229" s="8"/>
      <c r="HB229" s="8"/>
      <c r="HC229" s="8"/>
      <c r="HD229" s="8"/>
      <c r="HE229" s="8"/>
      <c r="HF229" s="8"/>
      <c r="HG229" s="8"/>
      <c r="HH229" s="8"/>
      <c r="HI229" s="8"/>
      <c r="HJ229" s="8"/>
      <c r="HK229" s="8"/>
      <c r="HL229" s="8"/>
      <c r="HM229" s="8"/>
      <c r="HN229" s="8"/>
      <c r="HO229" s="8"/>
      <c r="HP229" s="8"/>
      <c r="HQ229" s="8"/>
      <c r="HR229" s="8"/>
      <c r="HS229" s="8"/>
      <c r="HT229" s="8"/>
      <c r="HU229" s="8"/>
      <c r="HV229" s="8"/>
      <c r="HW229" s="8"/>
      <c r="HX229" s="8"/>
      <c r="HY229" s="8"/>
      <c r="HZ229" s="8"/>
      <c r="IA229" s="8"/>
      <c r="IB229" s="8"/>
      <c r="IC229" s="8"/>
      <c r="ID229" s="8"/>
      <c r="IE229" s="8"/>
      <c r="IF229" s="8"/>
      <c r="IG229" s="8"/>
      <c r="IH229" s="8"/>
      <c r="II229" s="8"/>
      <c r="IJ229" s="8"/>
      <c r="IK229" s="8"/>
      <c r="IL229" s="8"/>
      <c r="IM229" s="8"/>
    </row>
    <row r="230" spans="1:247" x14ac:dyDescent="0.25">
      <c r="A230" s="4">
        <v>8421</v>
      </c>
      <c r="B230" s="9" t="s">
        <v>247</v>
      </c>
      <c r="C230" s="10" t="s">
        <v>7</v>
      </c>
      <c r="D230" s="1721" t="s">
        <v>3061</v>
      </c>
      <c r="E230" s="1728"/>
      <c r="F230" s="1723">
        <f t="shared" si="58"/>
        <v>1.0209999999999999</v>
      </c>
      <c r="G230" s="1729"/>
      <c r="H230" s="1728"/>
      <c r="I230" s="1730"/>
      <c r="J230" s="1730"/>
      <c r="K230" s="1730"/>
      <c r="L230" s="1730"/>
      <c r="M230" s="1730"/>
      <c r="N230" s="1729"/>
      <c r="O230" s="1731"/>
      <c r="P230" s="1728">
        <f t="shared" si="62"/>
        <v>1.032</v>
      </c>
      <c r="Q230" s="1729">
        <f t="shared" si="63"/>
        <v>1.0349999999999999</v>
      </c>
      <c r="R230" s="1732">
        <f t="shared" si="59"/>
        <v>1.0905505199999999</v>
      </c>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c r="CA230" s="8"/>
      <c r="CB230" s="8"/>
      <c r="CC230" s="8"/>
      <c r="CD230" s="8"/>
      <c r="CE230" s="8"/>
      <c r="CF230" s="8"/>
      <c r="CG230" s="8"/>
      <c r="CH230" s="8"/>
      <c r="CI230" s="8"/>
      <c r="CJ230" s="8"/>
      <c r="CK230" s="8"/>
      <c r="CL230" s="8"/>
      <c r="CM230" s="8"/>
      <c r="CN230" s="8"/>
      <c r="CO230" s="8"/>
      <c r="CP230" s="8"/>
      <c r="CQ230" s="8"/>
      <c r="CR230" s="8"/>
      <c r="CS230" s="8"/>
      <c r="CT230" s="8"/>
      <c r="CU230" s="8"/>
      <c r="CV230" s="8"/>
      <c r="CW230" s="8"/>
      <c r="CX230" s="8"/>
      <c r="CY230" s="8"/>
      <c r="CZ230" s="8"/>
      <c r="DA230" s="8"/>
      <c r="DB230" s="8"/>
      <c r="DC230" s="8"/>
      <c r="DD230" s="8"/>
      <c r="DE230" s="8"/>
      <c r="DF230" s="8"/>
      <c r="DG230" s="8"/>
      <c r="DH230" s="8"/>
      <c r="DI230" s="8"/>
      <c r="DJ230" s="8"/>
      <c r="DK230" s="8"/>
      <c r="DL230" s="8"/>
      <c r="DM230" s="8"/>
      <c r="DN230" s="8"/>
      <c r="DO230" s="8"/>
      <c r="DP230" s="8"/>
      <c r="DQ230" s="8"/>
      <c r="DR230" s="8"/>
      <c r="DS230" s="8"/>
      <c r="DT230" s="8"/>
      <c r="DU230" s="8"/>
      <c r="DV230" s="8"/>
      <c r="DW230" s="8"/>
      <c r="DX230" s="8"/>
      <c r="DY230" s="8"/>
      <c r="DZ230" s="8"/>
      <c r="EA230" s="8"/>
      <c r="EB230" s="8"/>
      <c r="EC230" s="8"/>
      <c r="ED230" s="8"/>
      <c r="EE230" s="8"/>
      <c r="EF230" s="8"/>
      <c r="EG230" s="8"/>
      <c r="EH230" s="8"/>
      <c r="EI230" s="8"/>
      <c r="EJ230" s="8"/>
      <c r="EK230" s="8"/>
      <c r="EL230" s="8"/>
      <c r="EM230" s="8"/>
      <c r="EN230" s="8"/>
      <c r="EO230" s="8"/>
      <c r="EP230" s="8"/>
      <c r="EQ230" s="8"/>
      <c r="ER230" s="8"/>
      <c r="ES230" s="8"/>
      <c r="ET230" s="8"/>
      <c r="EU230" s="8"/>
      <c r="EV230" s="8"/>
      <c r="EW230" s="8"/>
      <c r="EX230" s="8"/>
      <c r="EY230" s="8"/>
      <c r="EZ230" s="8"/>
      <c r="FA230" s="8"/>
      <c r="FB230" s="8"/>
      <c r="FC230" s="8"/>
      <c r="FD230" s="8"/>
      <c r="FE230" s="8"/>
      <c r="FF230" s="8"/>
      <c r="FG230" s="8"/>
      <c r="FH230" s="8"/>
      <c r="FI230" s="8"/>
      <c r="FJ230" s="8"/>
      <c r="FK230" s="8"/>
      <c r="FL230" s="8"/>
      <c r="FM230" s="8"/>
      <c r="FN230" s="8"/>
      <c r="FO230" s="8"/>
      <c r="FP230" s="8"/>
      <c r="FQ230" s="8"/>
      <c r="FR230" s="8"/>
      <c r="FS230" s="8"/>
      <c r="FT230" s="8"/>
      <c r="FU230" s="8"/>
      <c r="FV230" s="8"/>
      <c r="FW230" s="8"/>
      <c r="FX230" s="8"/>
      <c r="FY230" s="8"/>
      <c r="FZ230" s="8"/>
      <c r="GA230" s="8"/>
      <c r="GB230" s="8"/>
      <c r="GC230" s="8"/>
      <c r="GD230" s="8"/>
      <c r="GE230" s="8"/>
      <c r="GF230" s="8"/>
      <c r="GG230" s="8"/>
      <c r="GH230" s="8"/>
      <c r="GI230" s="8"/>
      <c r="GJ230" s="8"/>
      <c r="GK230" s="8"/>
      <c r="GL230" s="8"/>
      <c r="GM230" s="8"/>
      <c r="GN230" s="8"/>
      <c r="GO230" s="8"/>
      <c r="GP230" s="8"/>
      <c r="GQ230" s="8"/>
      <c r="GR230" s="8"/>
      <c r="GS230" s="8"/>
      <c r="GT230" s="8"/>
      <c r="GU230" s="8"/>
      <c r="GV230" s="8"/>
      <c r="GW230" s="8"/>
      <c r="GX230" s="8"/>
      <c r="GY230" s="8"/>
      <c r="GZ230" s="8"/>
      <c r="HA230" s="8"/>
      <c r="HB230" s="8"/>
      <c r="HC230" s="8"/>
      <c r="HD230" s="8"/>
      <c r="HE230" s="8"/>
      <c r="HF230" s="8"/>
      <c r="HG230" s="8"/>
      <c r="HH230" s="8"/>
      <c r="HI230" s="8"/>
      <c r="HJ230" s="8"/>
      <c r="HK230" s="8"/>
      <c r="HL230" s="8"/>
      <c r="HM230" s="8"/>
      <c r="HN230" s="8"/>
      <c r="HO230" s="8"/>
      <c r="HP230" s="8"/>
      <c r="HQ230" s="8"/>
      <c r="HR230" s="8"/>
      <c r="HS230" s="8"/>
      <c r="HT230" s="8"/>
      <c r="HU230" s="8"/>
      <c r="HV230" s="8"/>
      <c r="HW230" s="8"/>
      <c r="HX230" s="8"/>
      <c r="HY230" s="8"/>
      <c r="HZ230" s="8"/>
      <c r="IA230" s="8"/>
      <c r="IB230" s="8"/>
      <c r="IC230" s="8"/>
      <c r="ID230" s="8"/>
      <c r="IE230" s="8"/>
      <c r="IF230" s="8"/>
      <c r="IG230" s="8"/>
      <c r="IH230" s="8"/>
      <c r="II230" s="8"/>
      <c r="IJ230" s="8"/>
      <c r="IK230" s="8"/>
      <c r="IL230" s="8"/>
      <c r="IM230" s="8"/>
    </row>
    <row r="231" spans="1:247" x14ac:dyDescent="0.25">
      <c r="A231" s="4">
        <v>8432</v>
      </c>
      <c r="B231" s="9" t="s">
        <v>248</v>
      </c>
      <c r="C231" s="10" t="s">
        <v>7</v>
      </c>
      <c r="D231" s="1721" t="s">
        <v>3061</v>
      </c>
      <c r="E231" s="1728"/>
      <c r="F231" s="1723">
        <f t="shared" si="58"/>
        <v>1.0209999999999999</v>
      </c>
      <c r="G231" s="1729"/>
      <c r="H231" s="1728"/>
      <c r="I231" s="1730"/>
      <c r="J231" s="1730"/>
      <c r="K231" s="1730"/>
      <c r="L231" s="1730"/>
      <c r="M231" s="1730"/>
      <c r="N231" s="1729"/>
      <c r="O231" s="1731"/>
      <c r="P231" s="1728">
        <f t="shared" si="62"/>
        <v>1.032</v>
      </c>
      <c r="Q231" s="1729">
        <f t="shared" si="63"/>
        <v>1.0349999999999999</v>
      </c>
      <c r="R231" s="1732">
        <f t="shared" si="59"/>
        <v>1.0905505199999999</v>
      </c>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c r="CA231" s="8"/>
      <c r="CB231" s="8"/>
      <c r="CC231" s="8"/>
      <c r="CD231" s="8"/>
      <c r="CE231" s="8"/>
      <c r="CF231" s="8"/>
      <c r="CG231" s="8"/>
      <c r="CH231" s="8"/>
      <c r="CI231" s="8"/>
      <c r="CJ231" s="8"/>
      <c r="CK231" s="8"/>
      <c r="CL231" s="8"/>
      <c r="CM231" s="8"/>
      <c r="CN231" s="8"/>
      <c r="CO231" s="8"/>
      <c r="CP231" s="8"/>
      <c r="CQ231" s="8"/>
      <c r="CR231" s="8"/>
      <c r="CS231" s="8"/>
      <c r="CT231" s="8"/>
      <c r="CU231" s="8"/>
      <c r="CV231" s="8"/>
      <c r="CW231" s="8"/>
      <c r="CX231" s="8"/>
      <c r="CY231" s="8"/>
      <c r="CZ231" s="8"/>
      <c r="DA231" s="8"/>
      <c r="DB231" s="8"/>
      <c r="DC231" s="8"/>
      <c r="DD231" s="8"/>
      <c r="DE231" s="8"/>
      <c r="DF231" s="8"/>
      <c r="DG231" s="8"/>
      <c r="DH231" s="8"/>
      <c r="DI231" s="8"/>
      <c r="DJ231" s="8"/>
      <c r="DK231" s="8"/>
      <c r="DL231" s="8"/>
      <c r="DM231" s="8"/>
      <c r="DN231" s="8"/>
      <c r="DO231" s="8"/>
      <c r="DP231" s="8"/>
      <c r="DQ231" s="8"/>
      <c r="DR231" s="8"/>
      <c r="DS231" s="8"/>
      <c r="DT231" s="8"/>
      <c r="DU231" s="8"/>
      <c r="DV231" s="8"/>
      <c r="DW231" s="8"/>
      <c r="DX231" s="8"/>
      <c r="DY231" s="8"/>
      <c r="DZ231" s="8"/>
      <c r="EA231" s="8"/>
      <c r="EB231" s="8"/>
      <c r="EC231" s="8"/>
      <c r="ED231" s="8"/>
      <c r="EE231" s="8"/>
      <c r="EF231" s="8"/>
      <c r="EG231" s="8"/>
      <c r="EH231" s="8"/>
      <c r="EI231" s="8"/>
      <c r="EJ231" s="8"/>
      <c r="EK231" s="8"/>
      <c r="EL231" s="8"/>
      <c r="EM231" s="8"/>
      <c r="EN231" s="8"/>
      <c r="EO231" s="8"/>
      <c r="EP231" s="8"/>
      <c r="EQ231" s="8"/>
      <c r="ER231" s="8"/>
      <c r="ES231" s="8"/>
      <c r="ET231" s="8"/>
      <c r="EU231" s="8"/>
      <c r="EV231" s="8"/>
      <c r="EW231" s="8"/>
      <c r="EX231" s="8"/>
      <c r="EY231" s="8"/>
      <c r="EZ231" s="8"/>
      <c r="FA231" s="8"/>
      <c r="FB231" s="8"/>
      <c r="FC231" s="8"/>
      <c r="FD231" s="8"/>
      <c r="FE231" s="8"/>
      <c r="FF231" s="8"/>
      <c r="FG231" s="8"/>
      <c r="FH231" s="8"/>
      <c r="FI231" s="8"/>
      <c r="FJ231" s="8"/>
      <c r="FK231" s="8"/>
      <c r="FL231" s="8"/>
      <c r="FM231" s="8"/>
      <c r="FN231" s="8"/>
      <c r="FO231" s="8"/>
      <c r="FP231" s="8"/>
      <c r="FQ231" s="8"/>
      <c r="FR231" s="8"/>
      <c r="FS231" s="8"/>
      <c r="FT231" s="8"/>
      <c r="FU231" s="8"/>
      <c r="FV231" s="8"/>
      <c r="FW231" s="8"/>
      <c r="FX231" s="8"/>
      <c r="FY231" s="8"/>
      <c r="FZ231" s="8"/>
      <c r="GA231" s="8"/>
      <c r="GB231" s="8"/>
      <c r="GC231" s="8"/>
      <c r="GD231" s="8"/>
      <c r="GE231" s="8"/>
      <c r="GF231" s="8"/>
      <c r="GG231" s="8"/>
      <c r="GH231" s="8"/>
      <c r="GI231" s="8"/>
      <c r="GJ231" s="8"/>
      <c r="GK231" s="8"/>
      <c r="GL231" s="8"/>
      <c r="GM231" s="8"/>
      <c r="GN231" s="8"/>
      <c r="GO231" s="8"/>
      <c r="GP231" s="8"/>
      <c r="GQ231" s="8"/>
      <c r="GR231" s="8"/>
      <c r="GS231" s="8"/>
      <c r="GT231" s="8"/>
      <c r="GU231" s="8"/>
      <c r="GV231" s="8"/>
      <c r="GW231" s="8"/>
      <c r="GX231" s="8"/>
      <c r="GY231" s="8"/>
      <c r="GZ231" s="8"/>
      <c r="HA231" s="8"/>
      <c r="HB231" s="8"/>
      <c r="HC231" s="8"/>
      <c r="HD231" s="8"/>
      <c r="HE231" s="8"/>
      <c r="HF231" s="8"/>
      <c r="HG231" s="8"/>
      <c r="HH231" s="8"/>
      <c r="HI231" s="8"/>
      <c r="HJ231" s="8"/>
      <c r="HK231" s="8"/>
      <c r="HL231" s="8"/>
      <c r="HM231" s="8"/>
      <c r="HN231" s="8"/>
      <c r="HO231" s="8"/>
      <c r="HP231" s="8"/>
      <c r="HQ231" s="8"/>
      <c r="HR231" s="8"/>
      <c r="HS231" s="8"/>
      <c r="HT231" s="8"/>
      <c r="HU231" s="8"/>
      <c r="HV231" s="8"/>
      <c r="HW231" s="8"/>
      <c r="HX231" s="8"/>
      <c r="HY231" s="8"/>
      <c r="HZ231" s="8"/>
      <c r="IA231" s="8"/>
      <c r="IB231" s="8"/>
      <c r="IC231" s="8"/>
      <c r="ID231" s="8"/>
      <c r="IE231" s="8"/>
      <c r="IF231" s="8"/>
      <c r="IG231" s="8"/>
      <c r="IH231" s="8"/>
      <c r="II231" s="8"/>
      <c r="IJ231" s="8"/>
      <c r="IK231" s="8"/>
      <c r="IL231" s="8"/>
      <c r="IM231" s="8"/>
    </row>
    <row r="232" spans="1:247" x14ac:dyDescent="0.25">
      <c r="A232" s="4">
        <v>8441</v>
      </c>
      <c r="B232" s="9" t="s">
        <v>250</v>
      </c>
      <c r="C232" s="10" t="s">
        <v>231</v>
      </c>
      <c r="D232" s="1721" t="s">
        <v>3060</v>
      </c>
      <c r="E232" s="1728"/>
      <c r="F232" s="1723">
        <f t="shared" si="58"/>
        <v>1.0209999999999999</v>
      </c>
      <c r="G232" s="1729"/>
      <c r="H232" s="1728"/>
      <c r="I232" s="1730"/>
      <c r="J232" s="1730"/>
      <c r="K232" s="1730"/>
      <c r="L232" s="1730"/>
      <c r="M232" s="1730"/>
      <c r="N232" s="1729"/>
      <c r="O232" s="1731"/>
      <c r="P232" s="1728">
        <f t="shared" si="62"/>
        <v>1.032</v>
      </c>
      <c r="Q232" s="1729">
        <f t="shared" si="63"/>
        <v>1.0349999999999999</v>
      </c>
      <c r="R232" s="1732">
        <f t="shared" si="59"/>
        <v>1.0905505199999999</v>
      </c>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c r="CA232" s="8"/>
      <c r="CB232" s="8"/>
      <c r="CC232" s="8"/>
      <c r="CD232" s="8"/>
      <c r="CE232" s="8"/>
      <c r="CF232" s="8"/>
      <c r="CG232" s="8"/>
      <c r="CH232" s="8"/>
      <c r="CI232" s="8"/>
      <c r="CJ232" s="8"/>
      <c r="CK232" s="8"/>
      <c r="CL232" s="8"/>
      <c r="CM232" s="8"/>
      <c r="CN232" s="8"/>
      <c r="CO232" s="8"/>
      <c r="CP232" s="8"/>
      <c r="CQ232" s="8"/>
      <c r="CR232" s="8"/>
      <c r="CS232" s="8"/>
      <c r="CT232" s="8"/>
      <c r="CU232" s="8"/>
      <c r="CV232" s="8"/>
      <c r="CW232" s="8"/>
      <c r="CX232" s="8"/>
      <c r="CY232" s="8"/>
      <c r="CZ232" s="8"/>
      <c r="DA232" s="8"/>
      <c r="DB232" s="8"/>
      <c r="DC232" s="8"/>
      <c r="DD232" s="8"/>
      <c r="DE232" s="8"/>
      <c r="DF232" s="8"/>
      <c r="DG232" s="8"/>
      <c r="DH232" s="8"/>
      <c r="DI232" s="8"/>
      <c r="DJ232" s="8"/>
      <c r="DK232" s="8"/>
      <c r="DL232" s="8"/>
      <c r="DM232" s="8"/>
      <c r="DN232" s="8"/>
      <c r="DO232" s="8"/>
      <c r="DP232" s="8"/>
      <c r="DQ232" s="8"/>
      <c r="DR232" s="8"/>
      <c r="DS232" s="8"/>
      <c r="DT232" s="8"/>
      <c r="DU232" s="8"/>
      <c r="DV232" s="8"/>
      <c r="DW232" s="8"/>
      <c r="DX232" s="8"/>
      <c r="DY232" s="8"/>
      <c r="DZ232" s="8"/>
      <c r="EA232" s="8"/>
      <c r="EB232" s="8"/>
      <c r="EC232" s="8"/>
      <c r="ED232" s="8"/>
      <c r="EE232" s="8"/>
      <c r="EF232" s="8"/>
      <c r="EG232" s="8"/>
      <c r="EH232" s="8"/>
      <c r="EI232" s="8"/>
      <c r="EJ232" s="8"/>
      <c r="EK232" s="8"/>
      <c r="EL232" s="8"/>
      <c r="EM232" s="8"/>
      <c r="EN232" s="8"/>
      <c r="EO232" s="8"/>
      <c r="EP232" s="8"/>
      <c r="EQ232" s="8"/>
      <c r="ER232" s="8"/>
      <c r="ES232" s="8"/>
      <c r="ET232" s="8"/>
      <c r="EU232" s="8"/>
      <c r="EV232" s="8"/>
      <c r="EW232" s="8"/>
      <c r="EX232" s="8"/>
      <c r="EY232" s="8"/>
      <c r="EZ232" s="8"/>
      <c r="FA232" s="8"/>
      <c r="FB232" s="8"/>
      <c r="FC232" s="8"/>
      <c r="FD232" s="8"/>
      <c r="FE232" s="8"/>
      <c r="FF232" s="8"/>
      <c r="FG232" s="8"/>
      <c r="FH232" s="8"/>
      <c r="FI232" s="8"/>
      <c r="FJ232" s="8"/>
      <c r="FK232" s="8"/>
      <c r="FL232" s="8"/>
      <c r="FM232" s="8"/>
      <c r="FN232" s="8"/>
      <c r="FO232" s="8"/>
      <c r="FP232" s="8"/>
      <c r="FQ232" s="8"/>
      <c r="FR232" s="8"/>
      <c r="FS232" s="8"/>
      <c r="FT232" s="8"/>
      <c r="FU232" s="8"/>
      <c r="FV232" s="8"/>
      <c r="FW232" s="8"/>
      <c r="FX232" s="8"/>
      <c r="FY232" s="8"/>
      <c r="FZ232" s="8"/>
      <c r="GA232" s="8"/>
      <c r="GB232" s="8"/>
      <c r="GC232" s="8"/>
      <c r="GD232" s="8"/>
      <c r="GE232" s="8"/>
      <c r="GF232" s="8"/>
      <c r="GG232" s="8"/>
      <c r="GH232" s="8"/>
      <c r="GI232" s="8"/>
      <c r="GJ232" s="8"/>
      <c r="GK232" s="8"/>
      <c r="GL232" s="8"/>
      <c r="GM232" s="8"/>
      <c r="GN232" s="8"/>
      <c r="GO232" s="8"/>
      <c r="GP232" s="8"/>
      <c r="GQ232" s="8"/>
      <c r="GR232" s="8"/>
      <c r="GS232" s="8"/>
      <c r="GT232" s="8"/>
      <c r="GU232" s="8"/>
      <c r="GV232" s="8"/>
      <c r="GW232" s="8"/>
      <c r="GX232" s="8"/>
      <c r="GY232" s="8"/>
      <c r="GZ232" s="8"/>
      <c r="HA232" s="8"/>
      <c r="HB232" s="8"/>
      <c r="HC232" s="8"/>
      <c r="HD232" s="8"/>
      <c r="HE232" s="8"/>
      <c r="HF232" s="8"/>
      <c r="HG232" s="8"/>
      <c r="HH232" s="8"/>
      <c r="HI232" s="8"/>
      <c r="HJ232" s="8"/>
      <c r="HK232" s="8"/>
      <c r="HL232" s="8"/>
      <c r="HM232" s="8"/>
      <c r="HN232" s="8"/>
      <c r="HO232" s="8"/>
      <c r="HP232" s="8"/>
      <c r="HQ232" s="8"/>
      <c r="HR232" s="8"/>
      <c r="HS232" s="8"/>
      <c r="HT232" s="8"/>
      <c r="HU232" s="8"/>
      <c r="HV232" s="8"/>
      <c r="HW232" s="8"/>
      <c r="HX232" s="8"/>
      <c r="HY232" s="8"/>
      <c r="HZ232" s="8"/>
      <c r="IA232" s="8"/>
      <c r="IB232" s="8"/>
      <c r="IC232" s="8"/>
      <c r="ID232" s="8"/>
      <c r="IE232" s="8"/>
      <c r="IF232" s="8"/>
      <c r="IG232" s="8"/>
      <c r="IH232" s="8"/>
      <c r="II232" s="8"/>
      <c r="IJ232" s="8"/>
      <c r="IK232" s="8"/>
      <c r="IL232" s="8"/>
      <c r="IM232" s="8"/>
    </row>
    <row r="233" spans="1:247" x14ac:dyDescent="0.25">
      <c r="A233" s="4">
        <v>8442</v>
      </c>
      <c r="B233" s="9" t="s">
        <v>251</v>
      </c>
      <c r="C233" s="10" t="s">
        <v>6</v>
      </c>
      <c r="D233" s="1721" t="s">
        <v>3060</v>
      </c>
      <c r="E233" s="1728"/>
      <c r="F233" s="1723">
        <f t="shared" si="58"/>
        <v>1.0209999999999999</v>
      </c>
      <c r="G233" s="1729"/>
      <c r="H233" s="1728"/>
      <c r="I233" s="1730"/>
      <c r="J233" s="1730"/>
      <c r="K233" s="1730"/>
      <c r="L233" s="1730"/>
      <c r="M233" s="1730"/>
      <c r="N233" s="1729"/>
      <c r="O233" s="1731"/>
      <c r="P233" s="1728">
        <f t="shared" si="62"/>
        <v>1.032</v>
      </c>
      <c r="Q233" s="1729">
        <f t="shared" si="63"/>
        <v>1.0349999999999999</v>
      </c>
      <c r="R233" s="1732">
        <f t="shared" si="59"/>
        <v>1.0905505199999999</v>
      </c>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c r="CA233" s="8"/>
      <c r="CB233" s="8"/>
      <c r="CC233" s="8"/>
      <c r="CD233" s="8"/>
      <c r="CE233" s="8"/>
      <c r="CF233" s="8"/>
      <c r="CG233" s="8"/>
      <c r="CH233" s="8"/>
      <c r="CI233" s="8"/>
      <c r="CJ233" s="8"/>
      <c r="CK233" s="8"/>
      <c r="CL233" s="8"/>
      <c r="CM233" s="8"/>
      <c r="CN233" s="8"/>
      <c r="CO233" s="8"/>
      <c r="CP233" s="8"/>
      <c r="CQ233" s="8"/>
      <c r="CR233" s="8"/>
      <c r="CS233" s="8"/>
      <c r="CT233" s="8"/>
      <c r="CU233" s="8"/>
      <c r="CV233" s="8"/>
      <c r="CW233" s="8"/>
      <c r="CX233" s="8"/>
      <c r="CY233" s="8"/>
      <c r="CZ233" s="8"/>
      <c r="DA233" s="8"/>
      <c r="DB233" s="8"/>
      <c r="DC233" s="8"/>
      <c r="DD233" s="8"/>
      <c r="DE233" s="8"/>
      <c r="DF233" s="8"/>
      <c r="DG233" s="8"/>
      <c r="DH233" s="8"/>
      <c r="DI233" s="8"/>
      <c r="DJ233" s="8"/>
      <c r="DK233" s="8"/>
      <c r="DL233" s="8"/>
      <c r="DM233" s="8"/>
      <c r="DN233" s="8"/>
      <c r="DO233" s="8"/>
      <c r="DP233" s="8"/>
      <c r="DQ233" s="8"/>
      <c r="DR233" s="8"/>
      <c r="DS233" s="8"/>
      <c r="DT233" s="8"/>
      <c r="DU233" s="8"/>
      <c r="DV233" s="8"/>
      <c r="DW233" s="8"/>
      <c r="DX233" s="8"/>
      <c r="DY233" s="8"/>
      <c r="DZ233" s="8"/>
      <c r="EA233" s="8"/>
      <c r="EB233" s="8"/>
      <c r="EC233" s="8"/>
      <c r="ED233" s="8"/>
      <c r="EE233" s="8"/>
      <c r="EF233" s="8"/>
      <c r="EG233" s="8"/>
      <c r="EH233" s="8"/>
      <c r="EI233" s="8"/>
      <c r="EJ233" s="8"/>
      <c r="EK233" s="8"/>
      <c r="EL233" s="8"/>
      <c r="EM233" s="8"/>
      <c r="EN233" s="8"/>
      <c r="EO233" s="8"/>
      <c r="EP233" s="8"/>
      <c r="EQ233" s="8"/>
      <c r="ER233" s="8"/>
      <c r="ES233" s="8"/>
      <c r="ET233" s="8"/>
      <c r="EU233" s="8"/>
      <c r="EV233" s="8"/>
      <c r="EW233" s="8"/>
      <c r="EX233" s="8"/>
      <c r="EY233" s="8"/>
      <c r="EZ233" s="8"/>
      <c r="FA233" s="8"/>
      <c r="FB233" s="8"/>
      <c r="FC233" s="8"/>
      <c r="FD233" s="8"/>
      <c r="FE233" s="8"/>
      <c r="FF233" s="8"/>
      <c r="FG233" s="8"/>
      <c r="FH233" s="8"/>
      <c r="FI233" s="8"/>
      <c r="FJ233" s="8"/>
      <c r="FK233" s="8"/>
      <c r="FL233" s="8"/>
      <c r="FM233" s="8"/>
      <c r="FN233" s="8"/>
      <c r="FO233" s="8"/>
      <c r="FP233" s="8"/>
      <c r="FQ233" s="8"/>
      <c r="FR233" s="8"/>
      <c r="FS233" s="8"/>
      <c r="FT233" s="8"/>
      <c r="FU233" s="8"/>
      <c r="FV233" s="8"/>
      <c r="FW233" s="8"/>
      <c r="FX233" s="8"/>
      <c r="FY233" s="8"/>
      <c r="FZ233" s="8"/>
      <c r="GA233" s="8"/>
      <c r="GB233" s="8"/>
      <c r="GC233" s="8"/>
      <c r="GD233" s="8"/>
      <c r="GE233" s="8"/>
      <c r="GF233" s="8"/>
      <c r="GG233" s="8"/>
      <c r="GH233" s="8"/>
      <c r="GI233" s="8"/>
      <c r="GJ233" s="8"/>
      <c r="GK233" s="8"/>
      <c r="GL233" s="8"/>
      <c r="GM233" s="8"/>
      <c r="GN233" s="8"/>
      <c r="GO233" s="8"/>
      <c r="GP233" s="8"/>
      <c r="GQ233" s="8"/>
      <c r="GR233" s="8"/>
      <c r="GS233" s="8"/>
      <c r="GT233" s="8"/>
      <c r="GU233" s="8"/>
      <c r="GV233" s="8"/>
      <c r="GW233" s="8"/>
      <c r="GX233" s="8"/>
      <c r="GY233" s="8"/>
      <c r="GZ233" s="8"/>
      <c r="HA233" s="8"/>
      <c r="HB233" s="8"/>
      <c r="HC233" s="8"/>
      <c r="HD233" s="8"/>
      <c r="HE233" s="8"/>
      <c r="HF233" s="8"/>
      <c r="HG233" s="8"/>
      <c r="HH233" s="8"/>
      <c r="HI233" s="8"/>
      <c r="HJ233" s="8"/>
      <c r="HK233" s="8"/>
      <c r="HL233" s="8"/>
      <c r="HM233" s="8"/>
      <c r="HN233" s="8"/>
      <c r="HO233" s="8"/>
      <c r="HP233" s="8"/>
      <c r="HQ233" s="8"/>
      <c r="HR233" s="8"/>
      <c r="HS233" s="8"/>
      <c r="HT233" s="8"/>
      <c r="HU233" s="8"/>
      <c r="HV233" s="8"/>
      <c r="HW233" s="8"/>
      <c r="HX233" s="8"/>
      <c r="HY233" s="8"/>
      <c r="HZ233" s="8"/>
      <c r="IA233" s="8"/>
      <c r="IB233" s="8"/>
      <c r="IC233" s="8"/>
      <c r="ID233" s="8"/>
      <c r="IE233" s="8"/>
      <c r="IF233" s="8"/>
      <c r="IG233" s="8"/>
      <c r="IH233" s="8"/>
      <c r="II233" s="8"/>
      <c r="IJ233" s="8"/>
      <c r="IK233" s="8"/>
      <c r="IL233" s="8"/>
      <c r="IM233" s="8"/>
    </row>
    <row r="234" spans="1:247" x14ac:dyDescent="0.25">
      <c r="A234" s="4">
        <v>8511</v>
      </c>
      <c r="B234" s="9" t="s">
        <v>252</v>
      </c>
      <c r="C234" s="10" t="s">
        <v>3</v>
      </c>
      <c r="D234" s="1721" t="s">
        <v>3061</v>
      </c>
      <c r="E234" s="1728"/>
      <c r="F234" s="1723">
        <f t="shared" si="58"/>
        <v>1.0209999999999999</v>
      </c>
      <c r="G234" s="1729">
        <f>+$G$3</f>
        <v>1.0269999999999999</v>
      </c>
      <c r="H234" s="1728"/>
      <c r="I234" s="1730"/>
      <c r="J234" s="1730"/>
      <c r="K234" s="1730"/>
      <c r="L234" s="1730"/>
      <c r="M234" s="1730"/>
      <c r="N234" s="1729"/>
      <c r="O234" s="1731"/>
      <c r="P234" s="1728">
        <f t="shared" si="62"/>
        <v>1.032</v>
      </c>
      <c r="Q234" s="1729">
        <f t="shared" si="63"/>
        <v>1.0349999999999999</v>
      </c>
      <c r="R234" s="1732">
        <f t="shared" si="59"/>
        <v>1.1199953840399997</v>
      </c>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c r="CA234" s="8"/>
      <c r="CB234" s="8"/>
      <c r="CC234" s="8"/>
      <c r="CD234" s="8"/>
      <c r="CE234" s="8"/>
      <c r="CF234" s="8"/>
      <c r="CG234" s="8"/>
      <c r="CH234" s="8"/>
      <c r="CI234" s="8"/>
      <c r="CJ234" s="8"/>
      <c r="CK234" s="8"/>
      <c r="CL234" s="8"/>
      <c r="CM234" s="8"/>
      <c r="CN234" s="8"/>
      <c r="CO234" s="8"/>
      <c r="CP234" s="8"/>
      <c r="CQ234" s="8"/>
      <c r="CR234" s="8"/>
      <c r="CS234" s="8"/>
      <c r="CT234" s="8"/>
      <c r="CU234" s="8"/>
      <c r="CV234" s="8"/>
      <c r="CW234" s="8"/>
      <c r="CX234" s="8"/>
      <c r="CY234" s="8"/>
      <c r="CZ234" s="8"/>
      <c r="DA234" s="8"/>
      <c r="DB234" s="8"/>
      <c r="DC234" s="8"/>
      <c r="DD234" s="8"/>
      <c r="DE234" s="8"/>
      <c r="DF234" s="8"/>
      <c r="DG234" s="8"/>
      <c r="DH234" s="8"/>
      <c r="DI234" s="8"/>
      <c r="DJ234" s="8"/>
      <c r="DK234" s="8"/>
      <c r="DL234" s="8"/>
      <c r="DM234" s="8"/>
      <c r="DN234" s="8"/>
      <c r="DO234" s="8"/>
      <c r="DP234" s="8"/>
      <c r="DQ234" s="8"/>
      <c r="DR234" s="8"/>
      <c r="DS234" s="8"/>
      <c r="DT234" s="8"/>
      <c r="DU234" s="8"/>
      <c r="DV234" s="8"/>
      <c r="DW234" s="8"/>
      <c r="DX234" s="8"/>
      <c r="DY234" s="8"/>
      <c r="DZ234" s="8"/>
      <c r="EA234" s="8"/>
      <c r="EB234" s="8"/>
      <c r="EC234" s="8"/>
      <c r="ED234" s="8"/>
      <c r="EE234" s="8"/>
      <c r="EF234" s="8"/>
      <c r="EG234" s="8"/>
      <c r="EH234" s="8"/>
      <c r="EI234" s="8"/>
      <c r="EJ234" s="8"/>
      <c r="EK234" s="8"/>
      <c r="EL234" s="8"/>
      <c r="EM234" s="8"/>
      <c r="EN234" s="8"/>
      <c r="EO234" s="8"/>
      <c r="EP234" s="8"/>
      <c r="EQ234" s="8"/>
      <c r="ER234" s="8"/>
      <c r="ES234" s="8"/>
      <c r="ET234" s="8"/>
      <c r="EU234" s="8"/>
      <c r="EV234" s="8"/>
      <c r="EW234" s="8"/>
      <c r="EX234" s="8"/>
      <c r="EY234" s="8"/>
      <c r="EZ234" s="8"/>
      <c r="FA234" s="8"/>
      <c r="FB234" s="8"/>
      <c r="FC234" s="8"/>
      <c r="FD234" s="8"/>
      <c r="FE234" s="8"/>
      <c r="FF234" s="8"/>
      <c r="FG234" s="8"/>
      <c r="FH234" s="8"/>
      <c r="FI234" s="8"/>
      <c r="FJ234" s="8"/>
      <c r="FK234" s="8"/>
      <c r="FL234" s="8"/>
      <c r="FM234" s="8"/>
      <c r="FN234" s="8"/>
      <c r="FO234" s="8"/>
      <c r="FP234" s="8"/>
      <c r="FQ234" s="8"/>
      <c r="FR234" s="8"/>
      <c r="FS234" s="8"/>
      <c r="FT234" s="8"/>
      <c r="FU234" s="8"/>
      <c r="FV234" s="8"/>
      <c r="FW234" s="8"/>
      <c r="FX234" s="8"/>
      <c r="FY234" s="8"/>
      <c r="FZ234" s="8"/>
      <c r="GA234" s="8"/>
      <c r="GB234" s="8"/>
      <c r="GC234" s="8"/>
      <c r="GD234" s="8"/>
      <c r="GE234" s="8"/>
      <c r="GF234" s="8"/>
      <c r="GG234" s="8"/>
      <c r="GH234" s="8"/>
      <c r="GI234" s="8"/>
      <c r="GJ234" s="8"/>
      <c r="GK234" s="8"/>
      <c r="GL234" s="8"/>
      <c r="GM234" s="8"/>
      <c r="GN234" s="8"/>
      <c r="GO234" s="8"/>
      <c r="GP234" s="8"/>
      <c r="GQ234" s="8"/>
      <c r="GR234" s="8"/>
      <c r="GS234" s="8"/>
      <c r="GT234" s="8"/>
      <c r="GU234" s="8"/>
      <c r="GV234" s="8"/>
      <c r="GW234" s="8"/>
      <c r="GX234" s="8"/>
      <c r="GY234" s="8"/>
      <c r="GZ234" s="8"/>
      <c r="HA234" s="8"/>
      <c r="HB234" s="8"/>
      <c r="HC234" s="8"/>
      <c r="HD234" s="8"/>
      <c r="HE234" s="8"/>
      <c r="HF234" s="8"/>
      <c r="HG234" s="8"/>
      <c r="HH234" s="8"/>
      <c r="HI234" s="8"/>
      <c r="HJ234" s="8"/>
      <c r="HK234" s="8"/>
      <c r="HL234" s="8"/>
      <c r="HM234" s="8"/>
      <c r="HN234" s="8"/>
      <c r="HO234" s="8"/>
      <c r="HP234" s="8"/>
      <c r="HQ234" s="8"/>
      <c r="HR234" s="8"/>
      <c r="HS234" s="8"/>
      <c r="HT234" s="8"/>
      <c r="HU234" s="8"/>
      <c r="HV234" s="8"/>
      <c r="HW234" s="8"/>
      <c r="HX234" s="8"/>
      <c r="HY234" s="8"/>
      <c r="HZ234" s="8"/>
      <c r="IA234" s="8"/>
      <c r="IB234" s="8"/>
      <c r="IC234" s="8"/>
      <c r="ID234" s="8"/>
      <c r="IE234" s="8"/>
      <c r="IF234" s="8"/>
      <c r="IG234" s="8"/>
      <c r="IH234" s="8"/>
      <c r="II234" s="8"/>
      <c r="IJ234" s="8"/>
      <c r="IK234" s="8"/>
      <c r="IL234" s="8"/>
      <c r="IM234" s="8"/>
    </row>
    <row r="235" spans="1:247" x14ac:dyDescent="0.25">
      <c r="A235" s="4">
        <v>8513</v>
      </c>
      <c r="B235" s="9" t="s">
        <v>253</v>
      </c>
      <c r="C235" s="10" t="s">
        <v>3</v>
      </c>
      <c r="D235" s="1721" t="s">
        <v>3060</v>
      </c>
      <c r="E235" s="1728"/>
      <c r="F235" s="1723">
        <f t="shared" si="58"/>
        <v>1.0209999999999999</v>
      </c>
      <c r="G235" s="1729">
        <f>+$G$3</f>
        <v>1.0269999999999999</v>
      </c>
      <c r="H235" s="1728"/>
      <c r="I235" s="1730"/>
      <c r="J235" s="1730"/>
      <c r="K235" s="1730"/>
      <c r="L235" s="1730"/>
      <c r="M235" s="1730"/>
      <c r="N235" s="1729"/>
      <c r="O235" s="1731"/>
      <c r="P235" s="1728">
        <f t="shared" si="62"/>
        <v>1.032</v>
      </c>
      <c r="Q235" s="1729">
        <f t="shared" si="63"/>
        <v>1.0349999999999999</v>
      </c>
      <c r="R235" s="1732">
        <f t="shared" si="59"/>
        <v>1.1199953840399997</v>
      </c>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c r="CA235" s="8"/>
      <c r="CB235" s="8"/>
      <c r="CC235" s="8"/>
      <c r="CD235" s="8"/>
      <c r="CE235" s="8"/>
      <c r="CF235" s="8"/>
      <c r="CG235" s="8"/>
      <c r="CH235" s="8"/>
      <c r="CI235" s="8"/>
      <c r="CJ235" s="8"/>
      <c r="CK235" s="8"/>
      <c r="CL235" s="8"/>
      <c r="CM235" s="8"/>
      <c r="CN235" s="8"/>
      <c r="CO235" s="8"/>
      <c r="CP235" s="8"/>
      <c r="CQ235" s="8"/>
      <c r="CR235" s="8"/>
      <c r="CS235" s="8"/>
      <c r="CT235" s="8"/>
      <c r="CU235" s="8"/>
      <c r="CV235" s="8"/>
      <c r="CW235" s="8"/>
      <c r="CX235" s="8"/>
      <c r="CY235" s="8"/>
      <c r="CZ235" s="8"/>
      <c r="DA235" s="8"/>
      <c r="DB235" s="8"/>
      <c r="DC235" s="8"/>
      <c r="DD235" s="8"/>
      <c r="DE235" s="8"/>
      <c r="DF235" s="8"/>
      <c r="DG235" s="8"/>
      <c r="DH235" s="8"/>
      <c r="DI235" s="8"/>
      <c r="DJ235" s="8"/>
      <c r="DK235" s="8"/>
      <c r="DL235" s="8"/>
      <c r="DM235" s="8"/>
      <c r="DN235" s="8"/>
      <c r="DO235" s="8"/>
      <c r="DP235" s="8"/>
      <c r="DQ235" s="8"/>
      <c r="DR235" s="8"/>
      <c r="DS235" s="8"/>
      <c r="DT235" s="8"/>
      <c r="DU235" s="8"/>
      <c r="DV235" s="8"/>
      <c r="DW235" s="8"/>
      <c r="DX235" s="8"/>
      <c r="DY235" s="8"/>
      <c r="DZ235" s="8"/>
      <c r="EA235" s="8"/>
      <c r="EB235" s="8"/>
      <c r="EC235" s="8"/>
      <c r="ED235" s="8"/>
      <c r="EE235" s="8"/>
      <c r="EF235" s="8"/>
      <c r="EG235" s="8"/>
      <c r="EH235" s="8"/>
      <c r="EI235" s="8"/>
      <c r="EJ235" s="8"/>
      <c r="EK235" s="8"/>
      <c r="EL235" s="8"/>
      <c r="EM235" s="8"/>
      <c r="EN235" s="8"/>
      <c r="EO235" s="8"/>
      <c r="EP235" s="8"/>
      <c r="EQ235" s="8"/>
      <c r="ER235" s="8"/>
      <c r="ES235" s="8"/>
      <c r="ET235" s="8"/>
      <c r="EU235" s="8"/>
      <c r="EV235" s="8"/>
      <c r="EW235" s="8"/>
      <c r="EX235" s="8"/>
      <c r="EY235" s="8"/>
      <c r="EZ235" s="8"/>
      <c r="FA235" s="8"/>
      <c r="FB235" s="8"/>
      <c r="FC235" s="8"/>
      <c r="FD235" s="8"/>
      <c r="FE235" s="8"/>
      <c r="FF235" s="8"/>
      <c r="FG235" s="8"/>
      <c r="FH235" s="8"/>
      <c r="FI235" s="8"/>
      <c r="FJ235" s="8"/>
      <c r="FK235" s="8"/>
      <c r="FL235" s="8"/>
      <c r="FM235" s="8"/>
      <c r="FN235" s="8"/>
      <c r="FO235" s="8"/>
      <c r="FP235" s="8"/>
      <c r="FQ235" s="8"/>
      <c r="FR235" s="8"/>
      <c r="FS235" s="8"/>
      <c r="FT235" s="8"/>
      <c r="FU235" s="8"/>
      <c r="FV235" s="8"/>
      <c r="FW235" s="8"/>
      <c r="FX235" s="8"/>
      <c r="FY235" s="8"/>
      <c r="FZ235" s="8"/>
      <c r="GA235" s="8"/>
      <c r="GB235" s="8"/>
      <c r="GC235" s="8"/>
      <c r="GD235" s="8"/>
      <c r="GE235" s="8"/>
      <c r="GF235" s="8"/>
      <c r="GG235" s="8"/>
      <c r="GH235" s="8"/>
      <c r="GI235" s="8"/>
      <c r="GJ235" s="8"/>
      <c r="GK235" s="8"/>
      <c r="GL235" s="8"/>
      <c r="GM235" s="8"/>
      <c r="GN235" s="8"/>
      <c r="GO235" s="8"/>
      <c r="GP235" s="8"/>
      <c r="GQ235" s="8"/>
      <c r="GR235" s="8"/>
      <c r="GS235" s="8"/>
      <c r="GT235" s="8"/>
      <c r="GU235" s="8"/>
      <c r="GV235" s="8"/>
      <c r="GW235" s="8"/>
      <c r="GX235" s="8"/>
      <c r="GY235" s="8"/>
      <c r="GZ235" s="8"/>
      <c r="HA235" s="8"/>
      <c r="HB235" s="8"/>
      <c r="HC235" s="8"/>
      <c r="HD235" s="8"/>
      <c r="HE235" s="8"/>
      <c r="HF235" s="8"/>
      <c r="HG235" s="8"/>
      <c r="HH235" s="8"/>
      <c r="HI235" s="8"/>
      <c r="HJ235" s="8"/>
      <c r="HK235" s="8"/>
      <c r="HL235" s="8"/>
      <c r="HM235" s="8"/>
      <c r="HN235" s="8"/>
      <c r="HO235" s="8"/>
      <c r="HP235" s="8"/>
      <c r="HQ235" s="8"/>
      <c r="HR235" s="8"/>
      <c r="HS235" s="8"/>
      <c r="HT235" s="8"/>
      <c r="HU235" s="8"/>
      <c r="HV235" s="8"/>
      <c r="HW235" s="8"/>
      <c r="HX235" s="8"/>
      <c r="HY235" s="8"/>
      <c r="HZ235" s="8"/>
      <c r="IA235" s="8"/>
      <c r="IB235" s="8"/>
      <c r="IC235" s="8"/>
      <c r="ID235" s="8"/>
      <c r="IE235" s="8"/>
      <c r="IF235" s="8"/>
      <c r="IG235" s="8"/>
      <c r="IH235" s="8"/>
      <c r="II235" s="8"/>
      <c r="IJ235" s="8"/>
      <c r="IK235" s="8"/>
      <c r="IL235" s="8"/>
      <c r="IM235" s="8"/>
    </row>
    <row r="236" spans="1:247" x14ac:dyDescent="0.25">
      <c r="A236" s="4">
        <v>8514</v>
      </c>
      <c r="B236" s="9" t="s">
        <v>254</v>
      </c>
      <c r="C236" s="10" t="s">
        <v>7</v>
      </c>
      <c r="D236" s="1721" t="s">
        <v>3061</v>
      </c>
      <c r="E236" s="1728"/>
      <c r="F236" s="1723">
        <f t="shared" si="58"/>
        <v>1.0209999999999999</v>
      </c>
      <c r="G236" s="1729">
        <f>+$G$3</f>
        <v>1.0269999999999999</v>
      </c>
      <c r="H236" s="1728"/>
      <c r="I236" s="1730"/>
      <c r="J236" s="1730"/>
      <c r="K236" s="1730"/>
      <c r="L236" s="1730"/>
      <c r="M236" s="1730"/>
      <c r="N236" s="1729"/>
      <c r="O236" s="1731"/>
      <c r="P236" s="1728">
        <f t="shared" si="62"/>
        <v>1.032</v>
      </c>
      <c r="Q236" s="1729">
        <f t="shared" si="63"/>
        <v>1.0349999999999999</v>
      </c>
      <c r="R236" s="1732">
        <f t="shared" si="59"/>
        <v>1.1199953840399997</v>
      </c>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c r="CA236" s="8"/>
      <c r="CB236" s="8"/>
      <c r="CC236" s="8"/>
      <c r="CD236" s="8"/>
      <c r="CE236" s="8"/>
      <c r="CF236" s="8"/>
      <c r="CG236" s="8"/>
      <c r="CH236" s="8"/>
      <c r="CI236" s="8"/>
      <c r="CJ236" s="8"/>
      <c r="CK236" s="8"/>
      <c r="CL236" s="8"/>
      <c r="CM236" s="8"/>
      <c r="CN236" s="8"/>
      <c r="CO236" s="8"/>
      <c r="CP236" s="8"/>
      <c r="CQ236" s="8"/>
      <c r="CR236" s="8"/>
      <c r="CS236" s="8"/>
      <c r="CT236" s="8"/>
      <c r="CU236" s="8"/>
      <c r="CV236" s="8"/>
      <c r="CW236" s="8"/>
      <c r="CX236" s="8"/>
      <c r="CY236" s="8"/>
      <c r="CZ236" s="8"/>
      <c r="DA236" s="8"/>
      <c r="DB236" s="8"/>
      <c r="DC236" s="8"/>
      <c r="DD236" s="8"/>
      <c r="DE236" s="8"/>
      <c r="DF236" s="8"/>
      <c r="DG236" s="8"/>
      <c r="DH236" s="8"/>
      <c r="DI236" s="8"/>
      <c r="DJ236" s="8"/>
      <c r="DK236" s="8"/>
      <c r="DL236" s="8"/>
      <c r="DM236" s="8"/>
      <c r="DN236" s="8"/>
      <c r="DO236" s="8"/>
      <c r="DP236" s="8"/>
      <c r="DQ236" s="8"/>
      <c r="DR236" s="8"/>
      <c r="DS236" s="8"/>
      <c r="DT236" s="8"/>
      <c r="DU236" s="8"/>
      <c r="DV236" s="8"/>
      <c r="DW236" s="8"/>
      <c r="DX236" s="8"/>
      <c r="DY236" s="8"/>
      <c r="DZ236" s="8"/>
      <c r="EA236" s="8"/>
      <c r="EB236" s="8"/>
      <c r="EC236" s="8"/>
      <c r="ED236" s="8"/>
      <c r="EE236" s="8"/>
      <c r="EF236" s="8"/>
      <c r="EG236" s="8"/>
      <c r="EH236" s="8"/>
      <c r="EI236" s="8"/>
      <c r="EJ236" s="8"/>
      <c r="EK236" s="8"/>
      <c r="EL236" s="8"/>
      <c r="EM236" s="8"/>
      <c r="EN236" s="8"/>
      <c r="EO236" s="8"/>
      <c r="EP236" s="8"/>
      <c r="EQ236" s="8"/>
      <c r="ER236" s="8"/>
      <c r="ES236" s="8"/>
      <c r="ET236" s="8"/>
      <c r="EU236" s="8"/>
      <c r="EV236" s="8"/>
      <c r="EW236" s="8"/>
      <c r="EX236" s="8"/>
      <c r="EY236" s="8"/>
      <c r="EZ236" s="8"/>
      <c r="FA236" s="8"/>
      <c r="FB236" s="8"/>
      <c r="FC236" s="8"/>
      <c r="FD236" s="8"/>
      <c r="FE236" s="8"/>
      <c r="FF236" s="8"/>
      <c r="FG236" s="8"/>
      <c r="FH236" s="8"/>
      <c r="FI236" s="8"/>
      <c r="FJ236" s="8"/>
      <c r="FK236" s="8"/>
      <c r="FL236" s="8"/>
      <c r="FM236" s="8"/>
      <c r="FN236" s="8"/>
      <c r="FO236" s="8"/>
      <c r="FP236" s="8"/>
      <c r="FQ236" s="8"/>
      <c r="FR236" s="8"/>
      <c r="FS236" s="8"/>
      <c r="FT236" s="8"/>
      <c r="FU236" s="8"/>
      <c r="FV236" s="8"/>
      <c r="FW236" s="8"/>
      <c r="FX236" s="8"/>
      <c r="FY236" s="8"/>
      <c r="FZ236" s="8"/>
      <c r="GA236" s="8"/>
      <c r="GB236" s="8"/>
      <c r="GC236" s="8"/>
      <c r="GD236" s="8"/>
      <c r="GE236" s="8"/>
      <c r="GF236" s="8"/>
      <c r="GG236" s="8"/>
      <c r="GH236" s="8"/>
      <c r="GI236" s="8"/>
      <c r="GJ236" s="8"/>
      <c r="GK236" s="8"/>
      <c r="GL236" s="8"/>
      <c r="GM236" s="8"/>
      <c r="GN236" s="8"/>
      <c r="GO236" s="8"/>
      <c r="GP236" s="8"/>
      <c r="GQ236" s="8"/>
      <c r="GR236" s="8"/>
      <c r="GS236" s="8"/>
      <c r="GT236" s="8"/>
      <c r="GU236" s="8"/>
      <c r="GV236" s="8"/>
      <c r="GW236" s="8"/>
      <c r="GX236" s="8"/>
      <c r="GY236" s="8"/>
      <c r="GZ236" s="8"/>
      <c r="HA236" s="8"/>
      <c r="HB236" s="8"/>
      <c r="HC236" s="8"/>
      <c r="HD236" s="8"/>
      <c r="HE236" s="8"/>
      <c r="HF236" s="8"/>
      <c r="HG236" s="8"/>
      <c r="HH236" s="8"/>
      <c r="HI236" s="8"/>
      <c r="HJ236" s="8"/>
      <c r="HK236" s="8"/>
      <c r="HL236" s="8"/>
      <c r="HM236" s="8"/>
      <c r="HN236" s="8"/>
      <c r="HO236" s="8"/>
      <c r="HP236" s="8"/>
      <c r="HQ236" s="8"/>
      <c r="HR236" s="8"/>
      <c r="HS236" s="8"/>
      <c r="HT236" s="8"/>
      <c r="HU236" s="8"/>
      <c r="HV236" s="8"/>
      <c r="HW236" s="8"/>
      <c r="HX236" s="8"/>
      <c r="HY236" s="8"/>
      <c r="HZ236" s="8"/>
      <c r="IA236" s="8"/>
      <c r="IB236" s="8"/>
      <c r="IC236" s="8"/>
      <c r="ID236" s="8"/>
      <c r="IE236" s="8"/>
      <c r="IF236" s="8"/>
      <c r="IG236" s="8"/>
      <c r="IH236" s="8"/>
      <c r="II236" s="8"/>
      <c r="IJ236" s="8"/>
      <c r="IK236" s="8"/>
      <c r="IL236" s="8"/>
      <c r="IM236" s="8"/>
    </row>
    <row r="237" spans="1:247" x14ac:dyDescent="0.25">
      <c r="A237" s="4">
        <v>8521</v>
      </c>
      <c r="B237" s="9" t="s">
        <v>255</v>
      </c>
      <c r="C237" s="10" t="s">
        <v>3</v>
      </c>
      <c r="D237" s="1721" t="s">
        <v>3061</v>
      </c>
      <c r="E237" s="1728"/>
      <c r="F237" s="1723">
        <f t="shared" si="58"/>
        <v>1.0209999999999999</v>
      </c>
      <c r="G237" s="1729">
        <f>+$G$3</f>
        <v>1.0269999999999999</v>
      </c>
      <c r="H237" s="1728"/>
      <c r="I237" s="1730"/>
      <c r="J237" s="1730"/>
      <c r="K237" s="1730"/>
      <c r="L237" s="1730"/>
      <c r="M237" s="1730"/>
      <c r="N237" s="1729"/>
      <c r="O237" s="1731"/>
      <c r="P237" s="1728">
        <f t="shared" si="62"/>
        <v>1.032</v>
      </c>
      <c r="Q237" s="1729">
        <f t="shared" si="63"/>
        <v>1.0349999999999999</v>
      </c>
      <c r="R237" s="1732">
        <f t="shared" si="59"/>
        <v>1.1199953840399997</v>
      </c>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c r="CA237" s="8"/>
      <c r="CB237" s="8"/>
      <c r="CC237" s="8"/>
      <c r="CD237" s="8"/>
      <c r="CE237" s="8"/>
      <c r="CF237" s="8"/>
      <c r="CG237" s="8"/>
      <c r="CH237" s="8"/>
      <c r="CI237" s="8"/>
      <c r="CJ237" s="8"/>
      <c r="CK237" s="8"/>
      <c r="CL237" s="8"/>
      <c r="CM237" s="8"/>
      <c r="CN237" s="8"/>
      <c r="CO237" s="8"/>
      <c r="CP237" s="8"/>
      <c r="CQ237" s="8"/>
      <c r="CR237" s="8"/>
      <c r="CS237" s="8"/>
      <c r="CT237" s="8"/>
      <c r="CU237" s="8"/>
      <c r="CV237" s="8"/>
      <c r="CW237" s="8"/>
      <c r="CX237" s="8"/>
      <c r="CY237" s="8"/>
      <c r="CZ237" s="8"/>
      <c r="DA237" s="8"/>
      <c r="DB237" s="8"/>
      <c r="DC237" s="8"/>
      <c r="DD237" s="8"/>
      <c r="DE237" s="8"/>
      <c r="DF237" s="8"/>
      <c r="DG237" s="8"/>
      <c r="DH237" s="8"/>
      <c r="DI237" s="8"/>
      <c r="DJ237" s="8"/>
      <c r="DK237" s="8"/>
      <c r="DL237" s="8"/>
      <c r="DM237" s="8"/>
      <c r="DN237" s="8"/>
      <c r="DO237" s="8"/>
      <c r="DP237" s="8"/>
      <c r="DQ237" s="8"/>
      <c r="DR237" s="8"/>
      <c r="DS237" s="8"/>
      <c r="DT237" s="8"/>
      <c r="DU237" s="8"/>
      <c r="DV237" s="8"/>
      <c r="DW237" s="8"/>
      <c r="DX237" s="8"/>
      <c r="DY237" s="8"/>
      <c r="DZ237" s="8"/>
      <c r="EA237" s="8"/>
      <c r="EB237" s="8"/>
      <c r="EC237" s="8"/>
      <c r="ED237" s="8"/>
      <c r="EE237" s="8"/>
      <c r="EF237" s="8"/>
      <c r="EG237" s="8"/>
      <c r="EH237" s="8"/>
      <c r="EI237" s="8"/>
      <c r="EJ237" s="8"/>
      <c r="EK237" s="8"/>
      <c r="EL237" s="8"/>
      <c r="EM237" s="8"/>
      <c r="EN237" s="8"/>
      <c r="EO237" s="8"/>
      <c r="EP237" s="8"/>
      <c r="EQ237" s="8"/>
      <c r="ER237" s="8"/>
      <c r="ES237" s="8"/>
      <c r="ET237" s="8"/>
      <c r="EU237" s="8"/>
      <c r="EV237" s="8"/>
      <c r="EW237" s="8"/>
      <c r="EX237" s="8"/>
      <c r="EY237" s="8"/>
      <c r="EZ237" s="8"/>
      <c r="FA237" s="8"/>
      <c r="FB237" s="8"/>
      <c r="FC237" s="8"/>
      <c r="FD237" s="8"/>
      <c r="FE237" s="8"/>
      <c r="FF237" s="8"/>
      <c r="FG237" s="8"/>
      <c r="FH237" s="8"/>
      <c r="FI237" s="8"/>
      <c r="FJ237" s="8"/>
      <c r="FK237" s="8"/>
      <c r="FL237" s="8"/>
      <c r="FM237" s="8"/>
      <c r="FN237" s="8"/>
      <c r="FO237" s="8"/>
      <c r="FP237" s="8"/>
      <c r="FQ237" s="8"/>
      <c r="FR237" s="8"/>
      <c r="FS237" s="8"/>
      <c r="FT237" s="8"/>
      <c r="FU237" s="8"/>
      <c r="FV237" s="8"/>
      <c r="FW237" s="8"/>
      <c r="FX237" s="8"/>
      <c r="FY237" s="8"/>
      <c r="FZ237" s="8"/>
      <c r="GA237" s="8"/>
      <c r="GB237" s="8"/>
      <c r="GC237" s="8"/>
      <c r="GD237" s="8"/>
      <c r="GE237" s="8"/>
      <c r="GF237" s="8"/>
      <c r="GG237" s="8"/>
      <c r="GH237" s="8"/>
      <c r="GI237" s="8"/>
      <c r="GJ237" s="8"/>
      <c r="GK237" s="8"/>
      <c r="GL237" s="8"/>
      <c r="GM237" s="8"/>
      <c r="GN237" s="8"/>
      <c r="GO237" s="8"/>
      <c r="GP237" s="8"/>
      <c r="GQ237" s="8"/>
      <c r="GR237" s="8"/>
      <c r="GS237" s="8"/>
      <c r="GT237" s="8"/>
      <c r="GU237" s="8"/>
      <c r="GV237" s="8"/>
      <c r="GW237" s="8"/>
      <c r="GX237" s="8"/>
      <c r="GY237" s="8"/>
      <c r="GZ237" s="8"/>
      <c r="HA237" s="8"/>
      <c r="HB237" s="8"/>
      <c r="HC237" s="8"/>
      <c r="HD237" s="8"/>
      <c r="HE237" s="8"/>
      <c r="HF237" s="8"/>
      <c r="HG237" s="8"/>
      <c r="HH237" s="8"/>
      <c r="HI237" s="8"/>
      <c r="HJ237" s="8"/>
      <c r="HK237" s="8"/>
      <c r="HL237" s="8"/>
      <c r="HM237" s="8"/>
      <c r="HN237" s="8"/>
      <c r="HO237" s="8"/>
      <c r="HP237" s="8"/>
      <c r="HQ237" s="8"/>
      <c r="HR237" s="8"/>
      <c r="HS237" s="8"/>
      <c r="HT237" s="8"/>
      <c r="HU237" s="8"/>
      <c r="HV237" s="8"/>
      <c r="HW237" s="8"/>
      <c r="HX237" s="8"/>
      <c r="HY237" s="8"/>
      <c r="HZ237" s="8"/>
      <c r="IA237" s="8"/>
      <c r="IB237" s="8"/>
      <c r="IC237" s="8"/>
      <c r="ID237" s="8"/>
      <c r="IE237" s="8"/>
      <c r="IF237" s="8"/>
      <c r="IG237" s="8"/>
      <c r="IH237" s="8"/>
      <c r="II237" s="8"/>
      <c r="IJ237" s="8"/>
      <c r="IK237" s="8"/>
      <c r="IL237" s="8"/>
      <c r="IM237" s="8"/>
    </row>
    <row r="238" spans="1:247" x14ac:dyDescent="0.25">
      <c r="A238" s="4">
        <v>8522</v>
      </c>
      <c r="B238" s="9" t="s">
        <v>256</v>
      </c>
      <c r="C238" s="10" t="s">
        <v>3</v>
      </c>
      <c r="D238" s="1721" t="s">
        <v>3061</v>
      </c>
      <c r="E238" s="1728"/>
      <c r="F238" s="1723">
        <f t="shared" si="58"/>
        <v>1.0209999999999999</v>
      </c>
      <c r="G238" s="1729"/>
      <c r="H238" s="1728"/>
      <c r="I238" s="1730"/>
      <c r="J238" s="1730"/>
      <c r="K238" s="1730"/>
      <c r="L238" s="1730"/>
      <c r="M238" s="1730"/>
      <c r="N238" s="1729"/>
      <c r="O238" s="1731"/>
      <c r="P238" s="1728"/>
      <c r="Q238" s="1729"/>
      <c r="R238" s="1732">
        <f t="shared" si="59"/>
        <v>1.0209999999999999</v>
      </c>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c r="CA238" s="8"/>
      <c r="CB238" s="8"/>
      <c r="CC238" s="8"/>
      <c r="CD238" s="8"/>
      <c r="CE238" s="8"/>
      <c r="CF238" s="8"/>
      <c r="CG238" s="8"/>
      <c r="CH238" s="8"/>
      <c r="CI238" s="8"/>
      <c r="CJ238" s="8"/>
      <c r="CK238" s="8"/>
      <c r="CL238" s="8"/>
      <c r="CM238" s="8"/>
      <c r="CN238" s="8"/>
      <c r="CO238" s="8"/>
      <c r="CP238" s="8"/>
      <c r="CQ238" s="8"/>
      <c r="CR238" s="8"/>
      <c r="CS238" s="8"/>
      <c r="CT238" s="8"/>
      <c r="CU238" s="8"/>
      <c r="CV238" s="8"/>
      <c r="CW238" s="8"/>
      <c r="CX238" s="8"/>
      <c r="CY238" s="8"/>
      <c r="CZ238" s="8"/>
      <c r="DA238" s="8"/>
      <c r="DB238" s="8"/>
      <c r="DC238" s="8"/>
      <c r="DD238" s="8"/>
      <c r="DE238" s="8"/>
      <c r="DF238" s="8"/>
      <c r="DG238" s="8"/>
      <c r="DH238" s="8"/>
      <c r="DI238" s="8"/>
      <c r="DJ238" s="8"/>
      <c r="DK238" s="8"/>
      <c r="DL238" s="8"/>
      <c r="DM238" s="8"/>
      <c r="DN238" s="8"/>
      <c r="DO238" s="8"/>
      <c r="DP238" s="8"/>
      <c r="DQ238" s="8"/>
      <c r="DR238" s="8"/>
      <c r="DS238" s="8"/>
      <c r="DT238" s="8"/>
      <c r="DU238" s="8"/>
      <c r="DV238" s="8"/>
      <c r="DW238" s="8"/>
      <c r="DX238" s="8"/>
      <c r="DY238" s="8"/>
      <c r="DZ238" s="8"/>
      <c r="EA238" s="8"/>
      <c r="EB238" s="8"/>
      <c r="EC238" s="8"/>
      <c r="ED238" s="8"/>
      <c r="EE238" s="8"/>
      <c r="EF238" s="8"/>
      <c r="EG238" s="8"/>
      <c r="EH238" s="8"/>
      <c r="EI238" s="8"/>
      <c r="EJ238" s="8"/>
      <c r="EK238" s="8"/>
      <c r="EL238" s="8"/>
      <c r="EM238" s="8"/>
      <c r="EN238" s="8"/>
      <c r="EO238" s="8"/>
      <c r="EP238" s="8"/>
      <c r="EQ238" s="8"/>
      <c r="ER238" s="8"/>
      <c r="ES238" s="8"/>
      <c r="ET238" s="8"/>
      <c r="EU238" s="8"/>
      <c r="EV238" s="8"/>
      <c r="EW238" s="8"/>
      <c r="EX238" s="8"/>
      <c r="EY238" s="8"/>
      <c r="EZ238" s="8"/>
      <c r="FA238" s="8"/>
      <c r="FB238" s="8"/>
      <c r="FC238" s="8"/>
      <c r="FD238" s="8"/>
      <c r="FE238" s="8"/>
      <c r="FF238" s="8"/>
      <c r="FG238" s="8"/>
      <c r="FH238" s="8"/>
      <c r="FI238" s="8"/>
      <c r="FJ238" s="8"/>
      <c r="FK238" s="8"/>
      <c r="FL238" s="8"/>
      <c r="FM238" s="8"/>
      <c r="FN238" s="8"/>
      <c r="FO238" s="8"/>
      <c r="FP238" s="8"/>
      <c r="FQ238" s="8"/>
      <c r="FR238" s="8"/>
      <c r="FS238" s="8"/>
      <c r="FT238" s="8"/>
      <c r="FU238" s="8"/>
      <c r="FV238" s="8"/>
      <c r="FW238" s="8"/>
      <c r="FX238" s="8"/>
      <c r="FY238" s="8"/>
      <c r="FZ238" s="8"/>
      <c r="GA238" s="8"/>
      <c r="GB238" s="8"/>
      <c r="GC238" s="8"/>
      <c r="GD238" s="8"/>
      <c r="GE238" s="8"/>
      <c r="GF238" s="8"/>
      <c r="GG238" s="8"/>
      <c r="GH238" s="8"/>
      <c r="GI238" s="8"/>
      <c r="GJ238" s="8"/>
      <c r="GK238" s="8"/>
      <c r="GL238" s="8"/>
      <c r="GM238" s="8"/>
      <c r="GN238" s="8"/>
      <c r="GO238" s="8"/>
      <c r="GP238" s="8"/>
      <c r="GQ238" s="8"/>
      <c r="GR238" s="8"/>
      <c r="GS238" s="8"/>
      <c r="GT238" s="8"/>
      <c r="GU238" s="8"/>
      <c r="GV238" s="8"/>
      <c r="GW238" s="8"/>
      <c r="GX238" s="8"/>
      <c r="GY238" s="8"/>
      <c r="GZ238" s="8"/>
      <c r="HA238" s="8"/>
      <c r="HB238" s="8"/>
      <c r="HC238" s="8"/>
      <c r="HD238" s="8"/>
      <c r="HE238" s="8"/>
      <c r="HF238" s="8"/>
      <c r="HG238" s="8"/>
      <c r="HH238" s="8"/>
      <c r="HI238" s="8"/>
      <c r="HJ238" s="8"/>
      <c r="HK238" s="8"/>
      <c r="HL238" s="8"/>
      <c r="HM238" s="8"/>
      <c r="HN238" s="8"/>
      <c r="HO238" s="8"/>
      <c r="HP238" s="8"/>
      <c r="HQ238" s="8"/>
      <c r="HR238" s="8"/>
      <c r="HS238" s="8"/>
      <c r="HT238" s="8"/>
      <c r="HU238" s="8"/>
      <c r="HV238" s="8"/>
      <c r="HW238" s="8"/>
      <c r="HX238" s="8"/>
      <c r="HY238" s="8"/>
      <c r="HZ238" s="8"/>
      <c r="IA238" s="8"/>
      <c r="IB238" s="8"/>
      <c r="IC238" s="8"/>
      <c r="ID238" s="8"/>
      <c r="IE238" s="8"/>
      <c r="IF238" s="8"/>
      <c r="IG238" s="8"/>
      <c r="IH238" s="8"/>
      <c r="II238" s="8"/>
      <c r="IJ238" s="8"/>
      <c r="IK238" s="8"/>
      <c r="IL238" s="8"/>
      <c r="IM238" s="8"/>
    </row>
    <row r="239" spans="1:247" x14ac:dyDescent="0.25">
      <c r="A239" s="4">
        <v>8523</v>
      </c>
      <c r="B239" s="9" t="s">
        <v>257</v>
      </c>
      <c r="C239" s="10" t="s">
        <v>3</v>
      </c>
      <c r="D239" s="1721" t="s">
        <v>3061</v>
      </c>
      <c r="E239" s="1728"/>
      <c r="F239" s="1723">
        <f t="shared" si="58"/>
        <v>1.0209999999999999</v>
      </c>
      <c r="G239" s="1729">
        <f>+$G$3</f>
        <v>1.0269999999999999</v>
      </c>
      <c r="H239" s="1728"/>
      <c r="I239" s="1730"/>
      <c r="J239" s="1730"/>
      <c r="K239" s="1730"/>
      <c r="L239" s="1730"/>
      <c r="M239" s="1730"/>
      <c r="N239" s="1729"/>
      <c r="O239" s="1731"/>
      <c r="P239" s="1728">
        <f>+$P$3</f>
        <v>1.032</v>
      </c>
      <c r="Q239" s="1729">
        <f>+$Q$3</f>
        <v>1.0349999999999999</v>
      </c>
      <c r="R239" s="1732">
        <f t="shared" si="59"/>
        <v>1.1199953840399997</v>
      </c>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c r="CA239" s="8"/>
      <c r="CB239" s="8"/>
      <c r="CC239" s="8"/>
      <c r="CD239" s="8"/>
      <c r="CE239" s="8"/>
      <c r="CF239" s="8"/>
      <c r="CG239" s="8"/>
      <c r="CH239" s="8"/>
      <c r="CI239" s="8"/>
      <c r="CJ239" s="8"/>
      <c r="CK239" s="8"/>
      <c r="CL239" s="8"/>
      <c r="CM239" s="8"/>
      <c r="CN239" s="8"/>
      <c r="CO239" s="8"/>
      <c r="CP239" s="8"/>
      <c r="CQ239" s="8"/>
      <c r="CR239" s="8"/>
      <c r="CS239" s="8"/>
      <c r="CT239" s="8"/>
      <c r="CU239" s="8"/>
      <c r="CV239" s="8"/>
      <c r="CW239" s="8"/>
      <c r="CX239" s="8"/>
      <c r="CY239" s="8"/>
      <c r="CZ239" s="8"/>
      <c r="DA239" s="8"/>
      <c r="DB239" s="8"/>
      <c r="DC239" s="8"/>
      <c r="DD239" s="8"/>
      <c r="DE239" s="8"/>
      <c r="DF239" s="8"/>
      <c r="DG239" s="8"/>
      <c r="DH239" s="8"/>
      <c r="DI239" s="8"/>
      <c r="DJ239" s="8"/>
      <c r="DK239" s="8"/>
      <c r="DL239" s="8"/>
      <c r="DM239" s="8"/>
      <c r="DN239" s="8"/>
      <c r="DO239" s="8"/>
      <c r="DP239" s="8"/>
      <c r="DQ239" s="8"/>
      <c r="DR239" s="8"/>
      <c r="DS239" s="8"/>
      <c r="DT239" s="8"/>
      <c r="DU239" s="8"/>
      <c r="DV239" s="8"/>
      <c r="DW239" s="8"/>
      <c r="DX239" s="8"/>
      <c r="DY239" s="8"/>
      <c r="DZ239" s="8"/>
      <c r="EA239" s="8"/>
      <c r="EB239" s="8"/>
      <c r="EC239" s="8"/>
      <c r="ED239" s="8"/>
      <c r="EE239" s="8"/>
      <c r="EF239" s="8"/>
      <c r="EG239" s="8"/>
      <c r="EH239" s="8"/>
      <c r="EI239" s="8"/>
      <c r="EJ239" s="8"/>
      <c r="EK239" s="8"/>
      <c r="EL239" s="8"/>
      <c r="EM239" s="8"/>
      <c r="EN239" s="8"/>
      <c r="EO239" s="8"/>
      <c r="EP239" s="8"/>
      <c r="EQ239" s="8"/>
      <c r="ER239" s="8"/>
      <c r="ES239" s="8"/>
      <c r="ET239" s="8"/>
      <c r="EU239" s="8"/>
      <c r="EV239" s="8"/>
      <c r="EW239" s="8"/>
      <c r="EX239" s="8"/>
      <c r="EY239" s="8"/>
      <c r="EZ239" s="8"/>
      <c r="FA239" s="8"/>
      <c r="FB239" s="8"/>
      <c r="FC239" s="8"/>
      <c r="FD239" s="8"/>
      <c r="FE239" s="8"/>
      <c r="FF239" s="8"/>
      <c r="FG239" s="8"/>
      <c r="FH239" s="8"/>
      <c r="FI239" s="8"/>
      <c r="FJ239" s="8"/>
      <c r="FK239" s="8"/>
      <c r="FL239" s="8"/>
      <c r="FM239" s="8"/>
      <c r="FN239" s="8"/>
      <c r="FO239" s="8"/>
      <c r="FP239" s="8"/>
      <c r="FQ239" s="8"/>
      <c r="FR239" s="8"/>
      <c r="FS239" s="8"/>
      <c r="FT239" s="8"/>
      <c r="FU239" s="8"/>
      <c r="FV239" s="8"/>
      <c r="FW239" s="8"/>
      <c r="FX239" s="8"/>
      <c r="FY239" s="8"/>
      <c r="FZ239" s="8"/>
      <c r="GA239" s="8"/>
      <c r="GB239" s="8"/>
      <c r="GC239" s="8"/>
      <c r="GD239" s="8"/>
      <c r="GE239" s="8"/>
      <c r="GF239" s="8"/>
      <c r="GG239" s="8"/>
      <c r="GH239" s="8"/>
      <c r="GI239" s="8"/>
      <c r="GJ239" s="8"/>
      <c r="GK239" s="8"/>
      <c r="GL239" s="8"/>
      <c r="GM239" s="8"/>
      <c r="GN239" s="8"/>
      <c r="GO239" s="8"/>
      <c r="GP239" s="8"/>
      <c r="GQ239" s="8"/>
      <c r="GR239" s="8"/>
      <c r="GS239" s="8"/>
      <c r="GT239" s="8"/>
      <c r="GU239" s="8"/>
      <c r="GV239" s="8"/>
      <c r="GW239" s="8"/>
      <c r="GX239" s="8"/>
      <c r="GY239" s="8"/>
      <c r="GZ239" s="8"/>
      <c r="HA239" s="8"/>
      <c r="HB239" s="8"/>
      <c r="HC239" s="8"/>
      <c r="HD239" s="8"/>
      <c r="HE239" s="8"/>
      <c r="HF239" s="8"/>
      <c r="HG239" s="8"/>
      <c r="HH239" s="8"/>
      <c r="HI239" s="8"/>
      <c r="HJ239" s="8"/>
      <c r="HK239" s="8"/>
      <c r="HL239" s="8"/>
      <c r="HM239" s="8"/>
      <c r="HN239" s="8"/>
      <c r="HO239" s="8"/>
      <c r="HP239" s="8"/>
      <c r="HQ239" s="8"/>
      <c r="HR239" s="8"/>
      <c r="HS239" s="8"/>
      <c r="HT239" s="8"/>
      <c r="HU239" s="8"/>
      <c r="HV239" s="8"/>
      <c r="HW239" s="8"/>
      <c r="HX239" s="8"/>
      <c r="HY239" s="8"/>
      <c r="HZ239" s="8"/>
      <c r="IA239" s="8"/>
      <c r="IB239" s="8"/>
      <c r="IC239" s="8"/>
      <c r="ID239" s="8"/>
      <c r="IE239" s="8"/>
      <c r="IF239" s="8"/>
      <c r="IG239" s="8"/>
      <c r="IH239" s="8"/>
      <c r="II239" s="8"/>
      <c r="IJ239" s="8"/>
      <c r="IK239" s="8"/>
      <c r="IL239" s="8"/>
      <c r="IM239" s="8"/>
    </row>
    <row r="240" spans="1:247" x14ac:dyDescent="0.25">
      <c r="A240" s="4">
        <v>8524</v>
      </c>
      <c r="B240" s="9" t="s">
        <v>258</v>
      </c>
      <c r="C240" s="10" t="s">
        <v>3</v>
      </c>
      <c r="D240" s="1721" t="s">
        <v>3060</v>
      </c>
      <c r="E240" s="1728"/>
      <c r="F240" s="1723">
        <f t="shared" si="58"/>
        <v>1.0209999999999999</v>
      </c>
      <c r="G240" s="1729"/>
      <c r="H240" s="1728"/>
      <c r="I240" s="1730"/>
      <c r="J240" s="1730"/>
      <c r="K240" s="1730"/>
      <c r="L240" s="1730"/>
      <c r="M240" s="1730"/>
      <c r="N240" s="1729"/>
      <c r="O240" s="1731"/>
      <c r="P240" s="1728"/>
      <c r="Q240" s="1729"/>
      <c r="R240" s="1732">
        <f t="shared" si="59"/>
        <v>1.0209999999999999</v>
      </c>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c r="CA240" s="8"/>
      <c r="CB240" s="8"/>
      <c r="CC240" s="8"/>
      <c r="CD240" s="8"/>
      <c r="CE240" s="8"/>
      <c r="CF240" s="8"/>
      <c r="CG240" s="8"/>
      <c r="CH240" s="8"/>
      <c r="CI240" s="8"/>
      <c r="CJ240" s="8"/>
      <c r="CK240" s="8"/>
      <c r="CL240" s="8"/>
      <c r="CM240" s="8"/>
      <c r="CN240" s="8"/>
      <c r="CO240" s="8"/>
      <c r="CP240" s="8"/>
      <c r="CQ240" s="8"/>
      <c r="CR240" s="8"/>
      <c r="CS240" s="8"/>
      <c r="CT240" s="8"/>
      <c r="CU240" s="8"/>
      <c r="CV240" s="8"/>
      <c r="CW240" s="8"/>
      <c r="CX240" s="8"/>
      <c r="CY240" s="8"/>
      <c r="CZ240" s="8"/>
      <c r="DA240" s="8"/>
      <c r="DB240" s="8"/>
      <c r="DC240" s="8"/>
      <c r="DD240" s="8"/>
      <c r="DE240" s="8"/>
      <c r="DF240" s="8"/>
      <c r="DG240" s="8"/>
      <c r="DH240" s="8"/>
      <c r="DI240" s="8"/>
      <c r="DJ240" s="8"/>
      <c r="DK240" s="8"/>
      <c r="DL240" s="8"/>
      <c r="DM240" s="8"/>
      <c r="DN240" s="8"/>
      <c r="DO240" s="8"/>
      <c r="DP240" s="8"/>
      <c r="DQ240" s="8"/>
      <c r="DR240" s="8"/>
      <c r="DS240" s="8"/>
      <c r="DT240" s="8"/>
      <c r="DU240" s="8"/>
      <c r="DV240" s="8"/>
      <c r="DW240" s="8"/>
      <c r="DX240" s="8"/>
      <c r="DY240" s="8"/>
      <c r="DZ240" s="8"/>
      <c r="EA240" s="8"/>
      <c r="EB240" s="8"/>
      <c r="EC240" s="8"/>
      <c r="ED240" s="8"/>
      <c r="EE240" s="8"/>
      <c r="EF240" s="8"/>
      <c r="EG240" s="8"/>
      <c r="EH240" s="8"/>
      <c r="EI240" s="8"/>
      <c r="EJ240" s="8"/>
      <c r="EK240" s="8"/>
      <c r="EL240" s="8"/>
      <c r="EM240" s="8"/>
      <c r="EN240" s="8"/>
      <c r="EO240" s="8"/>
      <c r="EP240" s="8"/>
      <c r="EQ240" s="8"/>
      <c r="ER240" s="8"/>
      <c r="ES240" s="8"/>
      <c r="ET240" s="8"/>
      <c r="EU240" s="8"/>
      <c r="EV240" s="8"/>
      <c r="EW240" s="8"/>
      <c r="EX240" s="8"/>
      <c r="EY240" s="8"/>
      <c r="EZ240" s="8"/>
      <c r="FA240" s="8"/>
      <c r="FB240" s="8"/>
      <c r="FC240" s="8"/>
      <c r="FD240" s="8"/>
      <c r="FE240" s="8"/>
      <c r="FF240" s="8"/>
      <c r="FG240" s="8"/>
      <c r="FH240" s="8"/>
      <c r="FI240" s="8"/>
      <c r="FJ240" s="8"/>
      <c r="FK240" s="8"/>
      <c r="FL240" s="8"/>
      <c r="FM240" s="8"/>
      <c r="FN240" s="8"/>
      <c r="FO240" s="8"/>
      <c r="FP240" s="8"/>
      <c r="FQ240" s="8"/>
      <c r="FR240" s="8"/>
      <c r="FS240" s="8"/>
      <c r="FT240" s="8"/>
      <c r="FU240" s="8"/>
      <c r="FV240" s="8"/>
      <c r="FW240" s="8"/>
      <c r="FX240" s="8"/>
      <c r="FY240" s="8"/>
      <c r="FZ240" s="8"/>
      <c r="GA240" s="8"/>
      <c r="GB240" s="8"/>
      <c r="GC240" s="8"/>
      <c r="GD240" s="8"/>
      <c r="GE240" s="8"/>
      <c r="GF240" s="8"/>
      <c r="GG240" s="8"/>
      <c r="GH240" s="8"/>
      <c r="GI240" s="8"/>
      <c r="GJ240" s="8"/>
      <c r="GK240" s="8"/>
      <c r="GL240" s="8"/>
      <c r="GM240" s="8"/>
      <c r="GN240" s="8"/>
      <c r="GO240" s="8"/>
      <c r="GP240" s="8"/>
      <c r="GQ240" s="8"/>
      <c r="GR240" s="8"/>
      <c r="GS240" s="8"/>
      <c r="GT240" s="8"/>
      <c r="GU240" s="8"/>
      <c r="GV240" s="8"/>
      <c r="GW240" s="8"/>
      <c r="GX240" s="8"/>
      <c r="GY240" s="8"/>
      <c r="GZ240" s="8"/>
      <c r="HA240" s="8"/>
      <c r="HB240" s="8"/>
      <c r="HC240" s="8"/>
      <c r="HD240" s="8"/>
      <c r="HE240" s="8"/>
      <c r="HF240" s="8"/>
      <c r="HG240" s="8"/>
      <c r="HH240" s="8"/>
      <c r="HI240" s="8"/>
      <c r="HJ240" s="8"/>
      <c r="HK240" s="8"/>
      <c r="HL240" s="8"/>
      <c r="HM240" s="8"/>
      <c r="HN240" s="8"/>
      <c r="HO240" s="8"/>
      <c r="HP240" s="8"/>
      <c r="HQ240" s="8"/>
      <c r="HR240" s="8"/>
      <c r="HS240" s="8"/>
      <c r="HT240" s="8"/>
      <c r="HU240" s="8"/>
      <c r="HV240" s="8"/>
      <c r="HW240" s="8"/>
      <c r="HX240" s="8"/>
      <c r="HY240" s="8"/>
      <c r="HZ240" s="8"/>
      <c r="IA240" s="8"/>
      <c r="IB240" s="8"/>
      <c r="IC240" s="8"/>
      <c r="ID240" s="8"/>
      <c r="IE240" s="8"/>
      <c r="IF240" s="8"/>
      <c r="IG240" s="8"/>
      <c r="IH240" s="8"/>
      <c r="II240" s="8"/>
      <c r="IJ240" s="8"/>
      <c r="IK240" s="8"/>
      <c r="IL240" s="8"/>
      <c r="IM240" s="8"/>
    </row>
    <row r="241" spans="1:247" x14ac:dyDescent="0.25">
      <c r="A241" s="4">
        <v>8525</v>
      </c>
      <c r="B241" s="9" t="s">
        <v>259</v>
      </c>
      <c r="C241" s="10" t="s">
        <v>3</v>
      </c>
      <c r="D241" s="1721" t="s">
        <v>3060</v>
      </c>
      <c r="E241" s="1728"/>
      <c r="F241" s="1723">
        <f t="shared" si="58"/>
        <v>1.0209999999999999</v>
      </c>
      <c r="G241" s="1729"/>
      <c r="H241" s="1728"/>
      <c r="I241" s="1730"/>
      <c r="J241" s="1730"/>
      <c r="K241" s="1730"/>
      <c r="L241" s="1730"/>
      <c r="M241" s="1730"/>
      <c r="N241" s="1729"/>
      <c r="O241" s="1731"/>
      <c r="P241" s="1728">
        <f t="shared" ref="P241:P247" si="64">+$P$3</f>
        <v>1.032</v>
      </c>
      <c r="Q241" s="1729">
        <f t="shared" ref="Q241:Q247" si="65">+$Q$3</f>
        <v>1.0349999999999999</v>
      </c>
      <c r="R241" s="1732">
        <f t="shared" si="59"/>
        <v>1.0905505199999999</v>
      </c>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c r="CA241" s="8"/>
      <c r="CB241" s="8"/>
      <c r="CC241" s="8"/>
      <c r="CD241" s="8"/>
      <c r="CE241" s="8"/>
      <c r="CF241" s="8"/>
      <c r="CG241" s="8"/>
      <c r="CH241" s="8"/>
      <c r="CI241" s="8"/>
      <c r="CJ241" s="8"/>
      <c r="CK241" s="8"/>
      <c r="CL241" s="8"/>
      <c r="CM241" s="8"/>
      <c r="CN241" s="8"/>
      <c r="CO241" s="8"/>
      <c r="CP241" s="8"/>
      <c r="CQ241" s="8"/>
      <c r="CR241" s="8"/>
      <c r="CS241" s="8"/>
      <c r="CT241" s="8"/>
      <c r="CU241" s="8"/>
      <c r="CV241" s="8"/>
      <c r="CW241" s="8"/>
      <c r="CX241" s="8"/>
      <c r="CY241" s="8"/>
      <c r="CZ241" s="8"/>
      <c r="DA241" s="8"/>
      <c r="DB241" s="8"/>
      <c r="DC241" s="8"/>
      <c r="DD241" s="8"/>
      <c r="DE241" s="8"/>
      <c r="DF241" s="8"/>
      <c r="DG241" s="8"/>
      <c r="DH241" s="8"/>
      <c r="DI241" s="8"/>
      <c r="DJ241" s="8"/>
      <c r="DK241" s="8"/>
      <c r="DL241" s="8"/>
      <c r="DM241" s="8"/>
      <c r="DN241" s="8"/>
      <c r="DO241" s="8"/>
      <c r="DP241" s="8"/>
      <c r="DQ241" s="8"/>
      <c r="DR241" s="8"/>
      <c r="DS241" s="8"/>
      <c r="DT241" s="8"/>
      <c r="DU241" s="8"/>
      <c r="DV241" s="8"/>
      <c r="DW241" s="8"/>
      <c r="DX241" s="8"/>
      <c r="DY241" s="8"/>
      <c r="DZ241" s="8"/>
      <c r="EA241" s="8"/>
      <c r="EB241" s="8"/>
      <c r="EC241" s="8"/>
      <c r="ED241" s="8"/>
      <c r="EE241" s="8"/>
      <c r="EF241" s="8"/>
      <c r="EG241" s="8"/>
      <c r="EH241" s="8"/>
      <c r="EI241" s="8"/>
      <c r="EJ241" s="8"/>
      <c r="EK241" s="8"/>
      <c r="EL241" s="8"/>
      <c r="EM241" s="8"/>
      <c r="EN241" s="8"/>
      <c r="EO241" s="8"/>
      <c r="EP241" s="8"/>
      <c r="EQ241" s="8"/>
      <c r="ER241" s="8"/>
      <c r="ES241" s="8"/>
      <c r="ET241" s="8"/>
      <c r="EU241" s="8"/>
      <c r="EV241" s="8"/>
      <c r="EW241" s="8"/>
      <c r="EX241" s="8"/>
      <c r="EY241" s="8"/>
      <c r="EZ241" s="8"/>
      <c r="FA241" s="8"/>
      <c r="FB241" s="8"/>
      <c r="FC241" s="8"/>
      <c r="FD241" s="8"/>
      <c r="FE241" s="8"/>
      <c r="FF241" s="8"/>
      <c r="FG241" s="8"/>
      <c r="FH241" s="8"/>
      <c r="FI241" s="8"/>
      <c r="FJ241" s="8"/>
      <c r="FK241" s="8"/>
      <c r="FL241" s="8"/>
      <c r="FM241" s="8"/>
      <c r="FN241" s="8"/>
      <c r="FO241" s="8"/>
      <c r="FP241" s="8"/>
      <c r="FQ241" s="8"/>
      <c r="FR241" s="8"/>
      <c r="FS241" s="8"/>
      <c r="FT241" s="8"/>
      <c r="FU241" s="8"/>
      <c r="FV241" s="8"/>
      <c r="FW241" s="8"/>
      <c r="FX241" s="8"/>
      <c r="FY241" s="8"/>
      <c r="FZ241" s="8"/>
      <c r="GA241" s="8"/>
      <c r="GB241" s="8"/>
      <c r="GC241" s="8"/>
      <c r="GD241" s="8"/>
      <c r="GE241" s="8"/>
      <c r="GF241" s="8"/>
      <c r="GG241" s="8"/>
      <c r="GH241" s="8"/>
      <c r="GI241" s="8"/>
      <c r="GJ241" s="8"/>
      <c r="GK241" s="8"/>
      <c r="GL241" s="8"/>
      <c r="GM241" s="8"/>
      <c r="GN241" s="8"/>
      <c r="GO241" s="8"/>
      <c r="GP241" s="8"/>
      <c r="GQ241" s="8"/>
      <c r="GR241" s="8"/>
      <c r="GS241" s="8"/>
      <c r="GT241" s="8"/>
      <c r="GU241" s="8"/>
      <c r="GV241" s="8"/>
      <c r="GW241" s="8"/>
      <c r="GX241" s="8"/>
      <c r="GY241" s="8"/>
      <c r="GZ241" s="8"/>
      <c r="HA241" s="8"/>
      <c r="HB241" s="8"/>
      <c r="HC241" s="8"/>
      <c r="HD241" s="8"/>
      <c r="HE241" s="8"/>
      <c r="HF241" s="8"/>
      <c r="HG241" s="8"/>
      <c r="HH241" s="8"/>
      <c r="HI241" s="8"/>
      <c r="HJ241" s="8"/>
      <c r="HK241" s="8"/>
      <c r="HL241" s="8"/>
      <c r="HM241" s="8"/>
      <c r="HN241" s="8"/>
      <c r="HO241" s="8"/>
      <c r="HP241" s="8"/>
      <c r="HQ241" s="8"/>
      <c r="HR241" s="8"/>
      <c r="HS241" s="8"/>
      <c r="HT241" s="8"/>
      <c r="HU241" s="8"/>
      <c r="HV241" s="8"/>
      <c r="HW241" s="8"/>
      <c r="HX241" s="8"/>
      <c r="HY241" s="8"/>
      <c r="HZ241" s="8"/>
      <c r="IA241" s="8"/>
      <c r="IB241" s="8"/>
      <c r="IC241" s="8"/>
      <c r="ID241" s="8"/>
      <c r="IE241" s="8"/>
      <c r="IF241" s="8"/>
      <c r="IG241" s="8"/>
      <c r="IH241" s="8"/>
      <c r="II241" s="8"/>
      <c r="IJ241" s="8"/>
      <c r="IK241" s="8"/>
      <c r="IL241" s="8"/>
      <c r="IM241" s="8"/>
    </row>
    <row r="242" spans="1:247" x14ac:dyDescent="0.25">
      <c r="A242" s="4">
        <v>8526</v>
      </c>
      <c r="B242" s="9" t="s">
        <v>260</v>
      </c>
      <c r="C242" s="10" t="s">
        <v>3</v>
      </c>
      <c r="D242" s="1721" t="s">
        <v>3061</v>
      </c>
      <c r="E242" s="1728"/>
      <c r="F242" s="1723">
        <f t="shared" si="58"/>
        <v>1.0209999999999999</v>
      </c>
      <c r="G242" s="1729"/>
      <c r="H242" s="1728"/>
      <c r="I242" s="1730"/>
      <c r="J242" s="1730"/>
      <c r="K242" s="1730"/>
      <c r="L242" s="1730"/>
      <c r="M242" s="1730"/>
      <c r="N242" s="1729"/>
      <c r="O242" s="1731"/>
      <c r="P242" s="1728">
        <f t="shared" si="64"/>
        <v>1.032</v>
      </c>
      <c r="Q242" s="1729">
        <f t="shared" si="65"/>
        <v>1.0349999999999999</v>
      </c>
      <c r="R242" s="1732">
        <f t="shared" si="59"/>
        <v>1.0905505199999999</v>
      </c>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c r="CA242" s="8"/>
      <c r="CB242" s="8"/>
      <c r="CC242" s="8"/>
      <c r="CD242" s="8"/>
      <c r="CE242" s="8"/>
      <c r="CF242" s="8"/>
      <c r="CG242" s="8"/>
      <c r="CH242" s="8"/>
      <c r="CI242" s="8"/>
      <c r="CJ242" s="8"/>
      <c r="CK242" s="8"/>
      <c r="CL242" s="8"/>
      <c r="CM242" s="8"/>
      <c r="CN242" s="8"/>
      <c r="CO242" s="8"/>
      <c r="CP242" s="8"/>
      <c r="CQ242" s="8"/>
      <c r="CR242" s="8"/>
      <c r="CS242" s="8"/>
      <c r="CT242" s="8"/>
      <c r="CU242" s="8"/>
      <c r="CV242" s="8"/>
      <c r="CW242" s="8"/>
      <c r="CX242" s="8"/>
      <c r="CY242" s="8"/>
      <c r="CZ242" s="8"/>
      <c r="DA242" s="8"/>
      <c r="DB242" s="8"/>
      <c r="DC242" s="8"/>
      <c r="DD242" s="8"/>
      <c r="DE242" s="8"/>
      <c r="DF242" s="8"/>
      <c r="DG242" s="8"/>
      <c r="DH242" s="8"/>
      <c r="DI242" s="8"/>
      <c r="DJ242" s="8"/>
      <c r="DK242" s="8"/>
      <c r="DL242" s="8"/>
      <c r="DM242" s="8"/>
      <c r="DN242" s="8"/>
      <c r="DO242" s="8"/>
      <c r="DP242" s="8"/>
      <c r="DQ242" s="8"/>
      <c r="DR242" s="8"/>
      <c r="DS242" s="8"/>
      <c r="DT242" s="8"/>
      <c r="DU242" s="8"/>
      <c r="DV242" s="8"/>
      <c r="DW242" s="8"/>
      <c r="DX242" s="8"/>
      <c r="DY242" s="8"/>
      <c r="DZ242" s="8"/>
      <c r="EA242" s="8"/>
      <c r="EB242" s="8"/>
      <c r="EC242" s="8"/>
      <c r="ED242" s="8"/>
      <c r="EE242" s="8"/>
      <c r="EF242" s="8"/>
      <c r="EG242" s="8"/>
      <c r="EH242" s="8"/>
      <c r="EI242" s="8"/>
      <c r="EJ242" s="8"/>
      <c r="EK242" s="8"/>
      <c r="EL242" s="8"/>
      <c r="EM242" s="8"/>
      <c r="EN242" s="8"/>
      <c r="EO242" s="8"/>
      <c r="EP242" s="8"/>
      <c r="EQ242" s="8"/>
      <c r="ER242" s="8"/>
      <c r="ES242" s="8"/>
      <c r="ET242" s="8"/>
      <c r="EU242" s="8"/>
      <c r="EV242" s="8"/>
      <c r="EW242" s="8"/>
      <c r="EX242" s="8"/>
      <c r="EY242" s="8"/>
      <c r="EZ242" s="8"/>
      <c r="FA242" s="8"/>
      <c r="FB242" s="8"/>
      <c r="FC242" s="8"/>
      <c r="FD242" s="8"/>
      <c r="FE242" s="8"/>
      <c r="FF242" s="8"/>
      <c r="FG242" s="8"/>
      <c r="FH242" s="8"/>
      <c r="FI242" s="8"/>
      <c r="FJ242" s="8"/>
      <c r="FK242" s="8"/>
      <c r="FL242" s="8"/>
      <c r="FM242" s="8"/>
      <c r="FN242" s="8"/>
      <c r="FO242" s="8"/>
      <c r="FP242" s="8"/>
      <c r="FQ242" s="8"/>
      <c r="FR242" s="8"/>
      <c r="FS242" s="8"/>
      <c r="FT242" s="8"/>
      <c r="FU242" s="8"/>
      <c r="FV242" s="8"/>
      <c r="FW242" s="8"/>
      <c r="FX242" s="8"/>
      <c r="FY242" s="8"/>
      <c r="FZ242" s="8"/>
      <c r="GA242" s="8"/>
      <c r="GB242" s="8"/>
      <c r="GC242" s="8"/>
      <c r="GD242" s="8"/>
      <c r="GE242" s="8"/>
      <c r="GF242" s="8"/>
      <c r="GG242" s="8"/>
      <c r="GH242" s="8"/>
      <c r="GI242" s="8"/>
      <c r="GJ242" s="8"/>
      <c r="GK242" s="8"/>
      <c r="GL242" s="8"/>
      <c r="GM242" s="8"/>
      <c r="GN242" s="8"/>
      <c r="GO242" s="8"/>
      <c r="GP242" s="8"/>
      <c r="GQ242" s="8"/>
      <c r="GR242" s="8"/>
      <c r="GS242" s="8"/>
      <c r="GT242" s="8"/>
      <c r="GU242" s="8"/>
      <c r="GV242" s="8"/>
      <c r="GW242" s="8"/>
      <c r="GX242" s="8"/>
      <c r="GY242" s="8"/>
      <c r="GZ242" s="8"/>
      <c r="HA242" s="8"/>
      <c r="HB242" s="8"/>
      <c r="HC242" s="8"/>
      <c r="HD242" s="8"/>
      <c r="HE242" s="8"/>
      <c r="HF242" s="8"/>
      <c r="HG242" s="8"/>
      <c r="HH242" s="8"/>
      <c r="HI242" s="8"/>
      <c r="HJ242" s="8"/>
      <c r="HK242" s="8"/>
      <c r="HL242" s="8"/>
      <c r="HM242" s="8"/>
      <c r="HN242" s="8"/>
      <c r="HO242" s="8"/>
      <c r="HP242" s="8"/>
      <c r="HQ242" s="8"/>
      <c r="HR242" s="8"/>
      <c r="HS242" s="8"/>
      <c r="HT242" s="8"/>
      <c r="HU242" s="8"/>
      <c r="HV242" s="8"/>
      <c r="HW242" s="8"/>
      <c r="HX242" s="8"/>
      <c r="HY242" s="8"/>
      <c r="HZ242" s="8"/>
      <c r="IA242" s="8"/>
      <c r="IB242" s="8"/>
      <c r="IC242" s="8"/>
      <c r="ID242" s="8"/>
      <c r="IE242" s="8"/>
      <c r="IF242" s="8"/>
      <c r="IG242" s="8"/>
      <c r="IH242" s="8"/>
      <c r="II242" s="8"/>
      <c r="IJ242" s="8"/>
      <c r="IK242" s="8"/>
      <c r="IL242" s="8"/>
      <c r="IM242" s="8"/>
    </row>
    <row r="243" spans="1:247" x14ac:dyDescent="0.25">
      <c r="A243" s="4">
        <v>8541</v>
      </c>
      <c r="B243" s="9" t="s">
        <v>261</v>
      </c>
      <c r="C243" s="10" t="s">
        <v>11</v>
      </c>
      <c r="D243" s="1721" t="s">
        <v>3060</v>
      </c>
      <c r="E243" s="1728"/>
      <c r="F243" s="1723">
        <f t="shared" si="58"/>
        <v>1.0209999999999999</v>
      </c>
      <c r="G243" s="1729"/>
      <c r="H243" s="1728"/>
      <c r="I243" s="1730"/>
      <c r="J243" s="1730"/>
      <c r="K243" s="1730"/>
      <c r="L243" s="1730"/>
      <c r="M243" s="1730"/>
      <c r="N243" s="1729"/>
      <c r="O243" s="1731"/>
      <c r="P243" s="1728">
        <f t="shared" si="64"/>
        <v>1.032</v>
      </c>
      <c r="Q243" s="1729">
        <f t="shared" si="65"/>
        <v>1.0349999999999999</v>
      </c>
      <c r="R243" s="1732">
        <f t="shared" si="59"/>
        <v>1.0905505199999999</v>
      </c>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c r="CA243" s="8"/>
      <c r="CB243" s="8"/>
      <c r="CC243" s="8"/>
      <c r="CD243" s="8"/>
      <c r="CE243" s="8"/>
      <c r="CF243" s="8"/>
      <c r="CG243" s="8"/>
      <c r="CH243" s="8"/>
      <c r="CI243" s="8"/>
      <c r="CJ243" s="8"/>
      <c r="CK243" s="8"/>
      <c r="CL243" s="8"/>
      <c r="CM243" s="8"/>
      <c r="CN243" s="8"/>
      <c r="CO243" s="8"/>
      <c r="CP243" s="8"/>
      <c r="CQ243" s="8"/>
      <c r="CR243" s="8"/>
      <c r="CS243" s="8"/>
      <c r="CT243" s="8"/>
      <c r="CU243" s="8"/>
      <c r="CV243" s="8"/>
      <c r="CW243" s="8"/>
      <c r="CX243" s="8"/>
      <c r="CY243" s="8"/>
      <c r="CZ243" s="8"/>
      <c r="DA243" s="8"/>
      <c r="DB243" s="8"/>
      <c r="DC243" s="8"/>
      <c r="DD243" s="8"/>
      <c r="DE243" s="8"/>
      <c r="DF243" s="8"/>
      <c r="DG243" s="8"/>
      <c r="DH243" s="8"/>
      <c r="DI243" s="8"/>
      <c r="DJ243" s="8"/>
      <c r="DK243" s="8"/>
      <c r="DL243" s="8"/>
      <c r="DM243" s="8"/>
      <c r="DN243" s="8"/>
      <c r="DO243" s="8"/>
      <c r="DP243" s="8"/>
      <c r="DQ243" s="8"/>
      <c r="DR243" s="8"/>
      <c r="DS243" s="8"/>
      <c r="DT243" s="8"/>
      <c r="DU243" s="8"/>
      <c r="DV243" s="8"/>
      <c r="DW243" s="8"/>
      <c r="DX243" s="8"/>
      <c r="DY243" s="8"/>
      <c r="DZ243" s="8"/>
      <c r="EA243" s="8"/>
      <c r="EB243" s="8"/>
      <c r="EC243" s="8"/>
      <c r="ED243" s="8"/>
      <c r="EE243" s="8"/>
      <c r="EF243" s="8"/>
      <c r="EG243" s="8"/>
      <c r="EH243" s="8"/>
      <c r="EI243" s="8"/>
      <c r="EJ243" s="8"/>
      <c r="EK243" s="8"/>
      <c r="EL243" s="8"/>
      <c r="EM243" s="8"/>
      <c r="EN243" s="8"/>
      <c r="EO243" s="8"/>
      <c r="EP243" s="8"/>
      <c r="EQ243" s="8"/>
      <c r="ER243" s="8"/>
      <c r="ES243" s="8"/>
      <c r="ET243" s="8"/>
      <c r="EU243" s="8"/>
      <c r="EV243" s="8"/>
      <c r="EW243" s="8"/>
      <c r="EX243" s="8"/>
      <c r="EY243" s="8"/>
      <c r="EZ243" s="8"/>
      <c r="FA243" s="8"/>
      <c r="FB243" s="8"/>
      <c r="FC243" s="8"/>
      <c r="FD243" s="8"/>
      <c r="FE243" s="8"/>
      <c r="FF243" s="8"/>
      <c r="FG243" s="8"/>
      <c r="FH243" s="8"/>
      <c r="FI243" s="8"/>
      <c r="FJ243" s="8"/>
      <c r="FK243" s="8"/>
      <c r="FL243" s="8"/>
      <c r="FM243" s="8"/>
      <c r="FN243" s="8"/>
      <c r="FO243" s="8"/>
      <c r="FP243" s="8"/>
      <c r="FQ243" s="8"/>
      <c r="FR243" s="8"/>
      <c r="FS243" s="8"/>
      <c r="FT243" s="8"/>
      <c r="FU243" s="8"/>
      <c r="FV243" s="8"/>
      <c r="FW243" s="8"/>
      <c r="FX243" s="8"/>
      <c r="FY243" s="8"/>
      <c r="FZ243" s="8"/>
      <c r="GA243" s="8"/>
      <c r="GB243" s="8"/>
      <c r="GC243" s="8"/>
      <c r="GD243" s="8"/>
      <c r="GE243" s="8"/>
      <c r="GF243" s="8"/>
      <c r="GG243" s="8"/>
      <c r="GH243" s="8"/>
      <c r="GI243" s="8"/>
      <c r="GJ243" s="8"/>
      <c r="GK243" s="8"/>
      <c r="GL243" s="8"/>
      <c r="GM243" s="8"/>
      <c r="GN243" s="8"/>
      <c r="GO243" s="8"/>
      <c r="GP243" s="8"/>
      <c r="GQ243" s="8"/>
      <c r="GR243" s="8"/>
      <c r="GS243" s="8"/>
      <c r="GT243" s="8"/>
      <c r="GU243" s="8"/>
      <c r="GV243" s="8"/>
      <c r="GW243" s="8"/>
      <c r="GX243" s="8"/>
      <c r="GY243" s="8"/>
      <c r="GZ243" s="8"/>
      <c r="HA243" s="8"/>
      <c r="HB243" s="8"/>
      <c r="HC243" s="8"/>
      <c r="HD243" s="8"/>
      <c r="HE243" s="8"/>
      <c r="HF243" s="8"/>
      <c r="HG243" s="8"/>
      <c r="HH243" s="8"/>
      <c r="HI243" s="8"/>
      <c r="HJ243" s="8"/>
      <c r="HK243" s="8"/>
      <c r="HL243" s="8"/>
      <c r="HM243" s="8"/>
      <c r="HN243" s="8"/>
      <c r="HO243" s="8"/>
      <c r="HP243" s="8"/>
      <c r="HQ243" s="8"/>
      <c r="HR243" s="8"/>
      <c r="HS243" s="8"/>
      <c r="HT243" s="8"/>
      <c r="HU243" s="8"/>
      <c r="HV243" s="8"/>
      <c r="HW243" s="8"/>
      <c r="HX243" s="8"/>
      <c r="HY243" s="8"/>
      <c r="HZ243" s="8"/>
      <c r="IA243" s="8"/>
      <c r="IB243" s="8"/>
      <c r="IC243" s="8"/>
      <c r="ID243" s="8"/>
      <c r="IE243" s="8"/>
      <c r="IF243" s="8"/>
      <c r="IG243" s="8"/>
      <c r="IH243" s="8"/>
      <c r="II243" s="8"/>
      <c r="IJ243" s="8"/>
      <c r="IK243" s="8"/>
      <c r="IL243" s="8"/>
      <c r="IM243" s="8"/>
    </row>
    <row r="244" spans="1:247" x14ac:dyDescent="0.25">
      <c r="A244" s="4">
        <v>8601</v>
      </c>
      <c r="B244" s="9" t="s">
        <v>262</v>
      </c>
      <c r="C244" s="10" t="s">
        <v>14</v>
      </c>
      <c r="D244" s="1721" t="s">
        <v>3061</v>
      </c>
      <c r="E244" s="1728"/>
      <c r="F244" s="1723">
        <f t="shared" si="58"/>
        <v>1.0209999999999999</v>
      </c>
      <c r="G244" s="1729">
        <f>+$G$3</f>
        <v>1.0269999999999999</v>
      </c>
      <c r="H244" s="1728"/>
      <c r="I244" s="1730"/>
      <c r="J244" s="1730"/>
      <c r="K244" s="1730"/>
      <c r="L244" s="1730"/>
      <c r="M244" s="1730"/>
      <c r="N244" s="1729"/>
      <c r="O244" s="1731"/>
      <c r="P244" s="1728">
        <f t="shared" si="64"/>
        <v>1.032</v>
      </c>
      <c r="Q244" s="1729">
        <f t="shared" si="65"/>
        <v>1.0349999999999999</v>
      </c>
      <c r="R244" s="1732">
        <f t="shared" si="59"/>
        <v>1.1199953840399997</v>
      </c>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c r="CA244" s="8"/>
      <c r="CB244" s="8"/>
      <c r="CC244" s="8"/>
      <c r="CD244" s="8"/>
      <c r="CE244" s="8"/>
      <c r="CF244" s="8"/>
      <c r="CG244" s="8"/>
      <c r="CH244" s="8"/>
      <c r="CI244" s="8"/>
      <c r="CJ244" s="8"/>
      <c r="CK244" s="8"/>
      <c r="CL244" s="8"/>
      <c r="CM244" s="8"/>
      <c r="CN244" s="8"/>
      <c r="CO244" s="8"/>
      <c r="CP244" s="8"/>
      <c r="CQ244" s="8"/>
      <c r="CR244" s="8"/>
      <c r="CS244" s="8"/>
      <c r="CT244" s="8"/>
      <c r="CU244" s="8"/>
      <c r="CV244" s="8"/>
      <c r="CW244" s="8"/>
      <c r="CX244" s="8"/>
      <c r="CY244" s="8"/>
      <c r="CZ244" s="8"/>
      <c r="DA244" s="8"/>
      <c r="DB244" s="8"/>
      <c r="DC244" s="8"/>
      <c r="DD244" s="8"/>
      <c r="DE244" s="8"/>
      <c r="DF244" s="8"/>
      <c r="DG244" s="8"/>
      <c r="DH244" s="8"/>
      <c r="DI244" s="8"/>
      <c r="DJ244" s="8"/>
      <c r="DK244" s="8"/>
      <c r="DL244" s="8"/>
      <c r="DM244" s="8"/>
      <c r="DN244" s="8"/>
      <c r="DO244" s="8"/>
      <c r="DP244" s="8"/>
      <c r="DQ244" s="8"/>
      <c r="DR244" s="8"/>
      <c r="DS244" s="8"/>
      <c r="DT244" s="8"/>
      <c r="DU244" s="8"/>
      <c r="DV244" s="8"/>
      <c r="DW244" s="8"/>
      <c r="DX244" s="8"/>
      <c r="DY244" s="8"/>
      <c r="DZ244" s="8"/>
      <c r="EA244" s="8"/>
      <c r="EB244" s="8"/>
      <c r="EC244" s="8"/>
      <c r="ED244" s="8"/>
      <c r="EE244" s="8"/>
      <c r="EF244" s="8"/>
      <c r="EG244" s="8"/>
      <c r="EH244" s="8"/>
      <c r="EI244" s="8"/>
      <c r="EJ244" s="8"/>
      <c r="EK244" s="8"/>
      <c r="EL244" s="8"/>
      <c r="EM244" s="8"/>
      <c r="EN244" s="8"/>
      <c r="EO244" s="8"/>
      <c r="EP244" s="8"/>
      <c r="EQ244" s="8"/>
      <c r="ER244" s="8"/>
      <c r="ES244" s="8"/>
      <c r="ET244" s="8"/>
      <c r="EU244" s="8"/>
      <c r="EV244" s="8"/>
      <c r="EW244" s="8"/>
      <c r="EX244" s="8"/>
      <c r="EY244" s="8"/>
      <c r="EZ244" s="8"/>
      <c r="FA244" s="8"/>
      <c r="FB244" s="8"/>
      <c r="FC244" s="8"/>
      <c r="FD244" s="8"/>
      <c r="FE244" s="8"/>
      <c r="FF244" s="8"/>
      <c r="FG244" s="8"/>
      <c r="FH244" s="8"/>
      <c r="FI244" s="8"/>
      <c r="FJ244" s="8"/>
      <c r="FK244" s="8"/>
      <c r="FL244" s="8"/>
      <c r="FM244" s="8"/>
      <c r="FN244" s="8"/>
      <c r="FO244" s="8"/>
      <c r="FP244" s="8"/>
      <c r="FQ244" s="8"/>
      <c r="FR244" s="8"/>
      <c r="FS244" s="8"/>
      <c r="FT244" s="8"/>
      <c r="FU244" s="8"/>
      <c r="FV244" s="8"/>
      <c r="FW244" s="8"/>
      <c r="FX244" s="8"/>
      <c r="FY244" s="8"/>
      <c r="FZ244" s="8"/>
      <c r="GA244" s="8"/>
      <c r="GB244" s="8"/>
      <c r="GC244" s="8"/>
      <c r="GD244" s="8"/>
      <c r="GE244" s="8"/>
      <c r="GF244" s="8"/>
      <c r="GG244" s="8"/>
      <c r="GH244" s="8"/>
      <c r="GI244" s="8"/>
      <c r="GJ244" s="8"/>
      <c r="GK244" s="8"/>
      <c r="GL244" s="8"/>
      <c r="GM244" s="8"/>
      <c r="GN244" s="8"/>
      <c r="GO244" s="8"/>
      <c r="GP244" s="8"/>
      <c r="GQ244" s="8"/>
      <c r="GR244" s="8"/>
      <c r="GS244" s="8"/>
      <c r="GT244" s="8"/>
      <c r="GU244" s="8"/>
      <c r="GV244" s="8"/>
      <c r="GW244" s="8"/>
      <c r="GX244" s="8"/>
      <c r="GY244" s="8"/>
      <c r="GZ244" s="8"/>
      <c r="HA244" s="8"/>
      <c r="HB244" s="8"/>
      <c r="HC244" s="8"/>
      <c r="HD244" s="8"/>
      <c r="HE244" s="8"/>
      <c r="HF244" s="8"/>
      <c r="HG244" s="8"/>
      <c r="HH244" s="8"/>
      <c r="HI244" s="8"/>
      <c r="HJ244" s="8"/>
      <c r="HK244" s="8"/>
      <c r="HL244" s="8"/>
      <c r="HM244" s="8"/>
      <c r="HN244" s="8"/>
      <c r="HO244" s="8"/>
      <c r="HP244" s="8"/>
      <c r="HQ244" s="8"/>
      <c r="HR244" s="8"/>
      <c r="HS244" s="8"/>
      <c r="HT244" s="8"/>
      <c r="HU244" s="8"/>
      <c r="HV244" s="8"/>
      <c r="HW244" s="8"/>
      <c r="HX244" s="8"/>
      <c r="HY244" s="8"/>
      <c r="HZ244" s="8"/>
      <c r="IA244" s="8"/>
      <c r="IB244" s="8"/>
      <c r="IC244" s="8"/>
      <c r="ID244" s="8"/>
      <c r="IE244" s="8"/>
      <c r="IF244" s="8"/>
      <c r="IG244" s="8"/>
      <c r="IH244" s="8"/>
      <c r="II244" s="8"/>
      <c r="IJ244" s="8"/>
      <c r="IK244" s="8"/>
      <c r="IL244" s="8"/>
      <c r="IM244" s="8"/>
    </row>
    <row r="245" spans="1:247" x14ac:dyDescent="0.25">
      <c r="A245" s="4">
        <v>8611</v>
      </c>
      <c r="B245" s="9" t="s">
        <v>263</v>
      </c>
      <c r="C245" s="10" t="s">
        <v>7</v>
      </c>
      <c r="D245" s="1721" t="s">
        <v>3060</v>
      </c>
      <c r="E245" s="1728"/>
      <c r="F245" s="1723">
        <f t="shared" si="58"/>
        <v>1.0209999999999999</v>
      </c>
      <c r="G245" s="1729">
        <f>+$G$3</f>
        <v>1.0269999999999999</v>
      </c>
      <c r="H245" s="1728"/>
      <c r="I245" s="1730"/>
      <c r="J245" s="1730"/>
      <c r="K245" s="1730"/>
      <c r="L245" s="1730"/>
      <c r="M245" s="1730"/>
      <c r="N245" s="1729"/>
      <c r="O245" s="1731"/>
      <c r="P245" s="1728">
        <f t="shared" si="64"/>
        <v>1.032</v>
      </c>
      <c r="Q245" s="1729">
        <f t="shared" si="65"/>
        <v>1.0349999999999999</v>
      </c>
      <c r="R245" s="1732">
        <f t="shared" si="59"/>
        <v>1.1199953840399997</v>
      </c>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c r="CA245" s="8"/>
      <c r="CB245" s="8"/>
      <c r="CC245" s="8"/>
      <c r="CD245" s="8"/>
      <c r="CE245" s="8"/>
      <c r="CF245" s="8"/>
      <c r="CG245" s="8"/>
      <c r="CH245" s="8"/>
      <c r="CI245" s="8"/>
      <c r="CJ245" s="8"/>
      <c r="CK245" s="8"/>
      <c r="CL245" s="8"/>
      <c r="CM245" s="8"/>
      <c r="CN245" s="8"/>
      <c r="CO245" s="8"/>
      <c r="CP245" s="8"/>
      <c r="CQ245" s="8"/>
      <c r="CR245" s="8"/>
      <c r="CS245" s="8"/>
      <c r="CT245" s="8"/>
      <c r="CU245" s="8"/>
      <c r="CV245" s="8"/>
      <c r="CW245" s="8"/>
      <c r="CX245" s="8"/>
      <c r="CY245" s="8"/>
      <c r="CZ245" s="8"/>
      <c r="DA245" s="8"/>
      <c r="DB245" s="8"/>
      <c r="DC245" s="8"/>
      <c r="DD245" s="8"/>
      <c r="DE245" s="8"/>
      <c r="DF245" s="8"/>
      <c r="DG245" s="8"/>
      <c r="DH245" s="8"/>
      <c r="DI245" s="8"/>
      <c r="DJ245" s="8"/>
      <c r="DK245" s="8"/>
      <c r="DL245" s="8"/>
      <c r="DM245" s="8"/>
      <c r="DN245" s="8"/>
      <c r="DO245" s="8"/>
      <c r="DP245" s="8"/>
      <c r="DQ245" s="8"/>
      <c r="DR245" s="8"/>
      <c r="DS245" s="8"/>
      <c r="DT245" s="8"/>
      <c r="DU245" s="8"/>
      <c r="DV245" s="8"/>
      <c r="DW245" s="8"/>
      <c r="DX245" s="8"/>
      <c r="DY245" s="8"/>
      <c r="DZ245" s="8"/>
      <c r="EA245" s="8"/>
      <c r="EB245" s="8"/>
      <c r="EC245" s="8"/>
      <c r="ED245" s="8"/>
      <c r="EE245" s="8"/>
      <c r="EF245" s="8"/>
      <c r="EG245" s="8"/>
      <c r="EH245" s="8"/>
      <c r="EI245" s="8"/>
      <c r="EJ245" s="8"/>
      <c r="EK245" s="8"/>
      <c r="EL245" s="8"/>
      <c r="EM245" s="8"/>
      <c r="EN245" s="8"/>
      <c r="EO245" s="8"/>
      <c r="EP245" s="8"/>
      <c r="EQ245" s="8"/>
      <c r="ER245" s="8"/>
      <c r="ES245" s="8"/>
      <c r="ET245" s="8"/>
      <c r="EU245" s="8"/>
      <c r="EV245" s="8"/>
      <c r="EW245" s="8"/>
      <c r="EX245" s="8"/>
      <c r="EY245" s="8"/>
      <c r="EZ245" s="8"/>
      <c r="FA245" s="8"/>
      <c r="FB245" s="8"/>
      <c r="FC245" s="8"/>
      <c r="FD245" s="8"/>
      <c r="FE245" s="8"/>
      <c r="FF245" s="8"/>
      <c r="FG245" s="8"/>
      <c r="FH245" s="8"/>
      <c r="FI245" s="8"/>
      <c r="FJ245" s="8"/>
      <c r="FK245" s="8"/>
      <c r="FL245" s="8"/>
      <c r="FM245" s="8"/>
      <c r="FN245" s="8"/>
      <c r="FO245" s="8"/>
      <c r="FP245" s="8"/>
      <c r="FQ245" s="8"/>
      <c r="FR245" s="8"/>
      <c r="FS245" s="8"/>
      <c r="FT245" s="8"/>
      <c r="FU245" s="8"/>
      <c r="FV245" s="8"/>
      <c r="FW245" s="8"/>
      <c r="FX245" s="8"/>
      <c r="FY245" s="8"/>
      <c r="FZ245" s="8"/>
      <c r="GA245" s="8"/>
      <c r="GB245" s="8"/>
      <c r="GC245" s="8"/>
      <c r="GD245" s="8"/>
      <c r="GE245" s="8"/>
      <c r="GF245" s="8"/>
      <c r="GG245" s="8"/>
      <c r="GH245" s="8"/>
      <c r="GI245" s="8"/>
      <c r="GJ245" s="8"/>
      <c r="GK245" s="8"/>
      <c r="GL245" s="8"/>
      <c r="GM245" s="8"/>
      <c r="GN245" s="8"/>
      <c r="GO245" s="8"/>
      <c r="GP245" s="8"/>
      <c r="GQ245" s="8"/>
      <c r="GR245" s="8"/>
      <c r="GS245" s="8"/>
      <c r="GT245" s="8"/>
      <c r="GU245" s="8"/>
      <c r="GV245" s="8"/>
      <c r="GW245" s="8"/>
      <c r="GX245" s="8"/>
      <c r="GY245" s="8"/>
      <c r="GZ245" s="8"/>
      <c r="HA245" s="8"/>
      <c r="HB245" s="8"/>
      <c r="HC245" s="8"/>
      <c r="HD245" s="8"/>
      <c r="HE245" s="8"/>
      <c r="HF245" s="8"/>
      <c r="HG245" s="8"/>
      <c r="HH245" s="8"/>
      <c r="HI245" s="8"/>
      <c r="HJ245" s="8"/>
      <c r="HK245" s="8"/>
      <c r="HL245" s="8"/>
      <c r="HM245" s="8"/>
      <c r="HN245" s="8"/>
      <c r="HO245" s="8"/>
      <c r="HP245" s="8"/>
      <c r="HQ245" s="8"/>
      <c r="HR245" s="8"/>
      <c r="HS245" s="8"/>
      <c r="HT245" s="8"/>
      <c r="HU245" s="8"/>
      <c r="HV245" s="8"/>
      <c r="HW245" s="8"/>
      <c r="HX245" s="8"/>
      <c r="HY245" s="8"/>
      <c r="HZ245" s="8"/>
      <c r="IA245" s="8"/>
      <c r="IB245" s="8"/>
      <c r="IC245" s="8"/>
      <c r="ID245" s="8"/>
      <c r="IE245" s="8"/>
      <c r="IF245" s="8"/>
      <c r="IG245" s="8"/>
      <c r="IH245" s="8"/>
      <c r="II245" s="8"/>
      <c r="IJ245" s="8"/>
      <c r="IK245" s="8"/>
      <c r="IL245" s="8"/>
      <c r="IM245" s="8"/>
    </row>
    <row r="246" spans="1:247" x14ac:dyDescent="0.25">
      <c r="A246" s="4">
        <v>8612</v>
      </c>
      <c r="B246" s="9" t="s">
        <v>264</v>
      </c>
      <c r="C246" s="10" t="s">
        <v>11</v>
      </c>
      <c r="D246" s="1721" t="s">
        <v>3060</v>
      </c>
      <c r="E246" s="1728"/>
      <c r="F246" s="1723">
        <f t="shared" si="58"/>
        <v>1.0209999999999999</v>
      </c>
      <c r="G246" s="1729"/>
      <c r="H246" s="1728"/>
      <c r="I246" s="1730"/>
      <c r="J246" s="1730"/>
      <c r="K246" s="1730"/>
      <c r="L246" s="1730"/>
      <c r="M246" s="1730"/>
      <c r="N246" s="1729"/>
      <c r="O246" s="1731"/>
      <c r="P246" s="1728">
        <f t="shared" si="64"/>
        <v>1.032</v>
      </c>
      <c r="Q246" s="1729">
        <f t="shared" si="65"/>
        <v>1.0349999999999999</v>
      </c>
      <c r="R246" s="1732">
        <f t="shared" si="59"/>
        <v>1.0905505199999999</v>
      </c>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c r="CA246" s="8"/>
      <c r="CB246" s="8"/>
      <c r="CC246" s="8"/>
      <c r="CD246" s="8"/>
      <c r="CE246" s="8"/>
      <c r="CF246" s="8"/>
      <c r="CG246" s="8"/>
      <c r="CH246" s="8"/>
      <c r="CI246" s="8"/>
      <c r="CJ246" s="8"/>
      <c r="CK246" s="8"/>
      <c r="CL246" s="8"/>
      <c r="CM246" s="8"/>
      <c r="CN246" s="8"/>
      <c r="CO246" s="8"/>
      <c r="CP246" s="8"/>
      <c r="CQ246" s="8"/>
      <c r="CR246" s="8"/>
      <c r="CS246" s="8"/>
      <c r="CT246" s="8"/>
      <c r="CU246" s="8"/>
      <c r="CV246" s="8"/>
      <c r="CW246" s="8"/>
      <c r="CX246" s="8"/>
      <c r="CY246" s="8"/>
      <c r="CZ246" s="8"/>
      <c r="DA246" s="8"/>
      <c r="DB246" s="8"/>
      <c r="DC246" s="8"/>
      <c r="DD246" s="8"/>
      <c r="DE246" s="8"/>
      <c r="DF246" s="8"/>
      <c r="DG246" s="8"/>
      <c r="DH246" s="8"/>
      <c r="DI246" s="8"/>
      <c r="DJ246" s="8"/>
      <c r="DK246" s="8"/>
      <c r="DL246" s="8"/>
      <c r="DM246" s="8"/>
      <c r="DN246" s="8"/>
      <c r="DO246" s="8"/>
      <c r="DP246" s="8"/>
      <c r="DQ246" s="8"/>
      <c r="DR246" s="8"/>
      <c r="DS246" s="8"/>
      <c r="DT246" s="8"/>
      <c r="DU246" s="8"/>
      <c r="DV246" s="8"/>
      <c r="DW246" s="8"/>
      <c r="DX246" s="8"/>
      <c r="DY246" s="8"/>
      <c r="DZ246" s="8"/>
      <c r="EA246" s="8"/>
      <c r="EB246" s="8"/>
      <c r="EC246" s="8"/>
      <c r="ED246" s="8"/>
      <c r="EE246" s="8"/>
      <c r="EF246" s="8"/>
      <c r="EG246" s="8"/>
      <c r="EH246" s="8"/>
      <c r="EI246" s="8"/>
      <c r="EJ246" s="8"/>
      <c r="EK246" s="8"/>
      <c r="EL246" s="8"/>
      <c r="EM246" s="8"/>
      <c r="EN246" s="8"/>
      <c r="EO246" s="8"/>
      <c r="EP246" s="8"/>
      <c r="EQ246" s="8"/>
      <c r="ER246" s="8"/>
      <c r="ES246" s="8"/>
      <c r="ET246" s="8"/>
      <c r="EU246" s="8"/>
      <c r="EV246" s="8"/>
      <c r="EW246" s="8"/>
      <c r="EX246" s="8"/>
      <c r="EY246" s="8"/>
      <c r="EZ246" s="8"/>
      <c r="FA246" s="8"/>
      <c r="FB246" s="8"/>
      <c r="FC246" s="8"/>
      <c r="FD246" s="8"/>
      <c r="FE246" s="8"/>
      <c r="FF246" s="8"/>
      <c r="FG246" s="8"/>
      <c r="FH246" s="8"/>
      <c r="FI246" s="8"/>
      <c r="FJ246" s="8"/>
      <c r="FK246" s="8"/>
      <c r="FL246" s="8"/>
      <c r="FM246" s="8"/>
      <c r="FN246" s="8"/>
      <c r="FO246" s="8"/>
      <c r="FP246" s="8"/>
      <c r="FQ246" s="8"/>
      <c r="FR246" s="8"/>
      <c r="FS246" s="8"/>
      <c r="FT246" s="8"/>
      <c r="FU246" s="8"/>
      <c r="FV246" s="8"/>
      <c r="FW246" s="8"/>
      <c r="FX246" s="8"/>
      <c r="FY246" s="8"/>
      <c r="FZ246" s="8"/>
      <c r="GA246" s="8"/>
      <c r="GB246" s="8"/>
      <c r="GC246" s="8"/>
      <c r="GD246" s="8"/>
      <c r="GE246" s="8"/>
      <c r="GF246" s="8"/>
      <c r="GG246" s="8"/>
      <c r="GH246" s="8"/>
      <c r="GI246" s="8"/>
      <c r="GJ246" s="8"/>
      <c r="GK246" s="8"/>
      <c r="GL246" s="8"/>
      <c r="GM246" s="8"/>
      <c r="GN246" s="8"/>
      <c r="GO246" s="8"/>
      <c r="GP246" s="8"/>
      <c r="GQ246" s="8"/>
      <c r="GR246" s="8"/>
      <c r="GS246" s="8"/>
      <c r="GT246" s="8"/>
      <c r="GU246" s="8"/>
      <c r="GV246" s="8"/>
      <c r="GW246" s="8"/>
      <c r="GX246" s="8"/>
      <c r="GY246" s="8"/>
      <c r="GZ246" s="8"/>
      <c r="HA246" s="8"/>
      <c r="HB246" s="8"/>
      <c r="HC246" s="8"/>
      <c r="HD246" s="8"/>
      <c r="HE246" s="8"/>
      <c r="HF246" s="8"/>
      <c r="HG246" s="8"/>
      <c r="HH246" s="8"/>
      <c r="HI246" s="8"/>
      <c r="HJ246" s="8"/>
      <c r="HK246" s="8"/>
      <c r="HL246" s="8"/>
      <c r="HM246" s="8"/>
      <c r="HN246" s="8"/>
      <c r="HO246" s="8"/>
      <c r="HP246" s="8"/>
      <c r="HQ246" s="8"/>
      <c r="HR246" s="8"/>
      <c r="HS246" s="8"/>
      <c r="HT246" s="8"/>
      <c r="HU246" s="8"/>
      <c r="HV246" s="8"/>
      <c r="HW246" s="8"/>
      <c r="HX246" s="8"/>
      <c r="HY246" s="8"/>
      <c r="HZ246" s="8"/>
      <c r="IA246" s="8"/>
      <c r="IB246" s="8"/>
      <c r="IC246" s="8"/>
      <c r="ID246" s="8"/>
      <c r="IE246" s="8"/>
      <c r="IF246" s="8"/>
      <c r="IG246" s="8"/>
      <c r="IH246" s="8"/>
      <c r="II246" s="8"/>
      <c r="IJ246" s="8"/>
      <c r="IK246" s="8"/>
      <c r="IL246" s="8"/>
      <c r="IM246" s="8"/>
    </row>
    <row r="247" spans="1:247" x14ac:dyDescent="0.25">
      <c r="A247" s="4">
        <v>8711</v>
      </c>
      <c r="B247" s="9" t="s">
        <v>265</v>
      </c>
      <c r="C247" s="10" t="s">
        <v>7</v>
      </c>
      <c r="D247" s="1721" t="s">
        <v>3061</v>
      </c>
      <c r="E247" s="1728"/>
      <c r="F247" s="1723">
        <f t="shared" si="58"/>
        <v>1.0209999999999999</v>
      </c>
      <c r="G247" s="1729"/>
      <c r="H247" s="1728"/>
      <c r="I247" s="1730"/>
      <c r="J247" s="1730"/>
      <c r="K247" s="1730"/>
      <c r="L247" s="1730"/>
      <c r="M247" s="1730"/>
      <c r="N247" s="1729"/>
      <c r="O247" s="1731"/>
      <c r="P247" s="1728">
        <f t="shared" si="64"/>
        <v>1.032</v>
      </c>
      <c r="Q247" s="1729">
        <f t="shared" si="65"/>
        <v>1.0349999999999999</v>
      </c>
      <c r="R247" s="1732">
        <f t="shared" si="59"/>
        <v>1.0905505199999999</v>
      </c>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c r="CA247" s="8"/>
      <c r="CB247" s="8"/>
      <c r="CC247" s="8"/>
      <c r="CD247" s="8"/>
      <c r="CE247" s="8"/>
      <c r="CF247" s="8"/>
      <c r="CG247" s="8"/>
      <c r="CH247" s="8"/>
      <c r="CI247" s="8"/>
      <c r="CJ247" s="8"/>
      <c r="CK247" s="8"/>
      <c r="CL247" s="8"/>
      <c r="CM247" s="8"/>
      <c r="CN247" s="8"/>
      <c r="CO247" s="8"/>
      <c r="CP247" s="8"/>
      <c r="CQ247" s="8"/>
      <c r="CR247" s="8"/>
      <c r="CS247" s="8"/>
      <c r="CT247" s="8"/>
      <c r="CU247" s="8"/>
      <c r="CV247" s="8"/>
      <c r="CW247" s="8"/>
      <c r="CX247" s="8"/>
      <c r="CY247" s="8"/>
      <c r="CZ247" s="8"/>
      <c r="DA247" s="8"/>
      <c r="DB247" s="8"/>
      <c r="DC247" s="8"/>
      <c r="DD247" s="8"/>
      <c r="DE247" s="8"/>
      <c r="DF247" s="8"/>
      <c r="DG247" s="8"/>
      <c r="DH247" s="8"/>
      <c r="DI247" s="8"/>
      <c r="DJ247" s="8"/>
      <c r="DK247" s="8"/>
      <c r="DL247" s="8"/>
      <c r="DM247" s="8"/>
      <c r="DN247" s="8"/>
      <c r="DO247" s="8"/>
      <c r="DP247" s="8"/>
      <c r="DQ247" s="8"/>
      <c r="DR247" s="8"/>
      <c r="DS247" s="8"/>
      <c r="DT247" s="8"/>
      <c r="DU247" s="8"/>
      <c r="DV247" s="8"/>
      <c r="DW247" s="8"/>
      <c r="DX247" s="8"/>
      <c r="DY247" s="8"/>
      <c r="DZ247" s="8"/>
      <c r="EA247" s="8"/>
      <c r="EB247" s="8"/>
      <c r="EC247" s="8"/>
      <c r="ED247" s="8"/>
      <c r="EE247" s="8"/>
      <c r="EF247" s="8"/>
      <c r="EG247" s="8"/>
      <c r="EH247" s="8"/>
      <c r="EI247" s="8"/>
      <c r="EJ247" s="8"/>
      <c r="EK247" s="8"/>
      <c r="EL247" s="8"/>
      <c r="EM247" s="8"/>
      <c r="EN247" s="8"/>
      <c r="EO247" s="8"/>
      <c r="EP247" s="8"/>
      <c r="EQ247" s="8"/>
      <c r="ER247" s="8"/>
      <c r="ES247" s="8"/>
      <c r="ET247" s="8"/>
      <c r="EU247" s="8"/>
      <c r="EV247" s="8"/>
      <c r="EW247" s="8"/>
      <c r="EX247" s="8"/>
      <c r="EY247" s="8"/>
      <c r="EZ247" s="8"/>
      <c r="FA247" s="8"/>
      <c r="FB247" s="8"/>
      <c r="FC247" s="8"/>
      <c r="FD247" s="8"/>
      <c r="FE247" s="8"/>
      <c r="FF247" s="8"/>
      <c r="FG247" s="8"/>
      <c r="FH247" s="8"/>
      <c r="FI247" s="8"/>
      <c r="FJ247" s="8"/>
      <c r="FK247" s="8"/>
      <c r="FL247" s="8"/>
      <c r="FM247" s="8"/>
      <c r="FN247" s="8"/>
      <c r="FO247" s="8"/>
      <c r="FP247" s="8"/>
      <c r="FQ247" s="8"/>
      <c r="FR247" s="8"/>
      <c r="FS247" s="8"/>
      <c r="FT247" s="8"/>
      <c r="FU247" s="8"/>
      <c r="FV247" s="8"/>
      <c r="FW247" s="8"/>
      <c r="FX247" s="8"/>
      <c r="FY247" s="8"/>
      <c r="FZ247" s="8"/>
      <c r="GA247" s="8"/>
      <c r="GB247" s="8"/>
      <c r="GC247" s="8"/>
      <c r="GD247" s="8"/>
      <c r="GE247" s="8"/>
      <c r="GF247" s="8"/>
      <c r="GG247" s="8"/>
      <c r="GH247" s="8"/>
      <c r="GI247" s="8"/>
      <c r="GJ247" s="8"/>
      <c r="GK247" s="8"/>
      <c r="GL247" s="8"/>
      <c r="GM247" s="8"/>
      <c r="GN247" s="8"/>
      <c r="GO247" s="8"/>
      <c r="GP247" s="8"/>
      <c r="GQ247" s="8"/>
      <c r="GR247" s="8"/>
      <c r="GS247" s="8"/>
      <c r="GT247" s="8"/>
      <c r="GU247" s="8"/>
      <c r="GV247" s="8"/>
      <c r="GW247" s="8"/>
      <c r="GX247" s="8"/>
      <c r="GY247" s="8"/>
      <c r="GZ247" s="8"/>
      <c r="HA247" s="8"/>
      <c r="HB247" s="8"/>
      <c r="HC247" s="8"/>
      <c r="HD247" s="8"/>
      <c r="HE247" s="8"/>
      <c r="HF247" s="8"/>
      <c r="HG247" s="8"/>
      <c r="HH247" s="8"/>
      <c r="HI247" s="8"/>
      <c r="HJ247" s="8"/>
      <c r="HK247" s="8"/>
      <c r="HL247" s="8"/>
      <c r="HM247" s="8"/>
      <c r="HN247" s="8"/>
      <c r="HO247" s="8"/>
      <c r="HP247" s="8"/>
      <c r="HQ247" s="8"/>
      <c r="HR247" s="8"/>
      <c r="HS247" s="8"/>
      <c r="HT247" s="8"/>
      <c r="HU247" s="8"/>
      <c r="HV247" s="8"/>
      <c r="HW247" s="8"/>
      <c r="HX247" s="8"/>
      <c r="HY247" s="8"/>
      <c r="HZ247" s="8"/>
      <c r="IA247" s="8"/>
      <c r="IB247" s="8"/>
      <c r="IC247" s="8"/>
      <c r="ID247" s="8"/>
      <c r="IE247" s="8"/>
      <c r="IF247" s="8"/>
      <c r="IG247" s="8"/>
      <c r="IH247" s="8"/>
      <c r="II247" s="8"/>
      <c r="IJ247" s="8"/>
      <c r="IK247" s="8"/>
      <c r="IL247" s="8"/>
      <c r="IM247" s="8"/>
    </row>
    <row r="248" spans="1:247" x14ac:dyDescent="0.25">
      <c r="A248" s="4">
        <v>8712</v>
      </c>
      <c r="B248" s="9" t="s">
        <v>266</v>
      </c>
      <c r="C248" s="10" t="s">
        <v>7</v>
      </c>
      <c r="D248" s="1721" t="s">
        <v>3060</v>
      </c>
      <c r="E248" s="1728"/>
      <c r="F248" s="1723">
        <f t="shared" si="58"/>
        <v>1.0209999999999999</v>
      </c>
      <c r="G248" s="1729"/>
      <c r="H248" s="1728"/>
      <c r="I248" s="1730"/>
      <c r="J248" s="1730"/>
      <c r="K248" s="1730"/>
      <c r="L248" s="1730"/>
      <c r="M248" s="1730"/>
      <c r="N248" s="1729"/>
      <c r="O248" s="1731"/>
      <c r="P248" s="1728"/>
      <c r="Q248" s="1729"/>
      <c r="R248" s="1732">
        <f t="shared" si="59"/>
        <v>1.0209999999999999</v>
      </c>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c r="CA248" s="8"/>
      <c r="CB248" s="8"/>
      <c r="CC248" s="8"/>
      <c r="CD248" s="8"/>
      <c r="CE248" s="8"/>
      <c r="CF248" s="8"/>
      <c r="CG248" s="8"/>
      <c r="CH248" s="8"/>
      <c r="CI248" s="8"/>
      <c r="CJ248" s="8"/>
      <c r="CK248" s="8"/>
      <c r="CL248" s="8"/>
      <c r="CM248" s="8"/>
      <c r="CN248" s="8"/>
      <c r="CO248" s="8"/>
      <c r="CP248" s="8"/>
      <c r="CQ248" s="8"/>
      <c r="CR248" s="8"/>
      <c r="CS248" s="8"/>
      <c r="CT248" s="8"/>
      <c r="CU248" s="8"/>
      <c r="CV248" s="8"/>
      <c r="CW248" s="8"/>
      <c r="CX248" s="8"/>
      <c r="CY248" s="8"/>
      <c r="CZ248" s="8"/>
      <c r="DA248" s="8"/>
      <c r="DB248" s="8"/>
      <c r="DC248" s="8"/>
      <c r="DD248" s="8"/>
      <c r="DE248" s="8"/>
      <c r="DF248" s="8"/>
      <c r="DG248" s="8"/>
      <c r="DH248" s="8"/>
      <c r="DI248" s="8"/>
      <c r="DJ248" s="8"/>
      <c r="DK248" s="8"/>
      <c r="DL248" s="8"/>
      <c r="DM248" s="8"/>
      <c r="DN248" s="8"/>
      <c r="DO248" s="8"/>
      <c r="DP248" s="8"/>
      <c r="DQ248" s="8"/>
      <c r="DR248" s="8"/>
      <c r="DS248" s="8"/>
      <c r="DT248" s="8"/>
      <c r="DU248" s="8"/>
      <c r="DV248" s="8"/>
      <c r="DW248" s="8"/>
      <c r="DX248" s="8"/>
      <c r="DY248" s="8"/>
      <c r="DZ248" s="8"/>
      <c r="EA248" s="8"/>
      <c r="EB248" s="8"/>
      <c r="EC248" s="8"/>
      <c r="ED248" s="8"/>
      <c r="EE248" s="8"/>
      <c r="EF248" s="8"/>
      <c r="EG248" s="8"/>
      <c r="EH248" s="8"/>
      <c r="EI248" s="8"/>
      <c r="EJ248" s="8"/>
      <c r="EK248" s="8"/>
      <c r="EL248" s="8"/>
      <c r="EM248" s="8"/>
      <c r="EN248" s="8"/>
      <c r="EO248" s="8"/>
      <c r="EP248" s="8"/>
      <c r="EQ248" s="8"/>
      <c r="ER248" s="8"/>
      <c r="ES248" s="8"/>
      <c r="ET248" s="8"/>
      <c r="EU248" s="8"/>
      <c r="EV248" s="8"/>
      <c r="EW248" s="8"/>
      <c r="EX248" s="8"/>
      <c r="EY248" s="8"/>
      <c r="EZ248" s="8"/>
      <c r="FA248" s="8"/>
      <c r="FB248" s="8"/>
      <c r="FC248" s="8"/>
      <c r="FD248" s="8"/>
      <c r="FE248" s="8"/>
      <c r="FF248" s="8"/>
      <c r="FG248" s="8"/>
      <c r="FH248" s="8"/>
      <c r="FI248" s="8"/>
      <c r="FJ248" s="8"/>
      <c r="FK248" s="8"/>
      <c r="FL248" s="8"/>
      <c r="FM248" s="8"/>
      <c r="FN248" s="8"/>
      <c r="FO248" s="8"/>
      <c r="FP248" s="8"/>
      <c r="FQ248" s="8"/>
      <c r="FR248" s="8"/>
      <c r="FS248" s="8"/>
      <c r="FT248" s="8"/>
      <c r="FU248" s="8"/>
      <c r="FV248" s="8"/>
      <c r="FW248" s="8"/>
      <c r="FX248" s="8"/>
      <c r="FY248" s="8"/>
      <c r="FZ248" s="8"/>
      <c r="GA248" s="8"/>
      <c r="GB248" s="8"/>
      <c r="GC248" s="8"/>
      <c r="GD248" s="8"/>
      <c r="GE248" s="8"/>
      <c r="GF248" s="8"/>
      <c r="GG248" s="8"/>
      <c r="GH248" s="8"/>
      <c r="GI248" s="8"/>
      <c r="GJ248" s="8"/>
      <c r="GK248" s="8"/>
      <c r="GL248" s="8"/>
      <c r="GM248" s="8"/>
      <c r="GN248" s="8"/>
      <c r="GO248" s="8"/>
      <c r="GP248" s="8"/>
      <c r="GQ248" s="8"/>
      <c r="GR248" s="8"/>
      <c r="GS248" s="8"/>
      <c r="GT248" s="8"/>
      <c r="GU248" s="8"/>
      <c r="GV248" s="8"/>
      <c r="GW248" s="8"/>
      <c r="GX248" s="8"/>
      <c r="GY248" s="8"/>
      <c r="GZ248" s="8"/>
      <c r="HA248" s="8"/>
      <c r="HB248" s="8"/>
      <c r="HC248" s="8"/>
      <c r="HD248" s="8"/>
      <c r="HE248" s="8"/>
      <c r="HF248" s="8"/>
      <c r="HG248" s="8"/>
      <c r="HH248" s="8"/>
      <c r="HI248" s="8"/>
      <c r="HJ248" s="8"/>
      <c r="HK248" s="8"/>
      <c r="HL248" s="8"/>
      <c r="HM248" s="8"/>
      <c r="HN248" s="8"/>
      <c r="HO248" s="8"/>
      <c r="HP248" s="8"/>
      <c r="HQ248" s="8"/>
      <c r="HR248" s="8"/>
      <c r="HS248" s="8"/>
      <c r="HT248" s="8"/>
      <c r="HU248" s="8"/>
      <c r="HV248" s="8"/>
      <c r="HW248" s="8"/>
      <c r="HX248" s="8"/>
      <c r="HY248" s="8"/>
      <c r="HZ248" s="8"/>
      <c r="IA248" s="8"/>
      <c r="IB248" s="8"/>
      <c r="IC248" s="8"/>
      <c r="ID248" s="8"/>
      <c r="IE248" s="8"/>
      <c r="IF248" s="8"/>
      <c r="IG248" s="8"/>
      <c r="IH248" s="8"/>
      <c r="II248" s="8"/>
      <c r="IJ248" s="8"/>
      <c r="IK248" s="8"/>
      <c r="IL248" s="8"/>
      <c r="IM248" s="8"/>
    </row>
    <row r="249" spans="1:247" x14ac:dyDescent="0.25">
      <c r="A249" s="4">
        <v>8714</v>
      </c>
      <c r="B249" s="9" t="s">
        <v>267</v>
      </c>
      <c r="C249" s="10" t="s">
        <v>7</v>
      </c>
      <c r="D249" s="1721" t="s">
        <v>3060</v>
      </c>
      <c r="E249" s="1728"/>
      <c r="F249" s="1723">
        <f t="shared" si="58"/>
        <v>1.0209999999999999</v>
      </c>
      <c r="G249" s="1729"/>
      <c r="H249" s="1728"/>
      <c r="I249" s="1730"/>
      <c r="J249" s="1730"/>
      <c r="K249" s="1730"/>
      <c r="L249" s="1730"/>
      <c r="M249" s="1730"/>
      <c r="N249" s="1729"/>
      <c r="O249" s="1731"/>
      <c r="P249" s="1728"/>
      <c r="Q249" s="1729"/>
      <c r="R249" s="1732">
        <f>PRODUCT(E249:Q249)</f>
        <v>1.0209999999999999</v>
      </c>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c r="CA249" s="8"/>
      <c r="CB249" s="8"/>
      <c r="CC249" s="8"/>
      <c r="CD249" s="8"/>
      <c r="CE249" s="8"/>
      <c r="CF249" s="8"/>
      <c r="CG249" s="8"/>
      <c r="CH249" s="8"/>
      <c r="CI249" s="8"/>
      <c r="CJ249" s="8"/>
      <c r="CK249" s="8"/>
      <c r="CL249" s="8"/>
      <c r="CM249" s="8"/>
      <c r="CN249" s="8"/>
      <c r="CO249" s="8"/>
      <c r="CP249" s="8"/>
      <c r="CQ249" s="8"/>
      <c r="CR249" s="8"/>
      <c r="CS249" s="8"/>
      <c r="CT249" s="8"/>
      <c r="CU249" s="8"/>
      <c r="CV249" s="8"/>
      <c r="CW249" s="8"/>
      <c r="CX249" s="8"/>
      <c r="CY249" s="8"/>
      <c r="CZ249" s="8"/>
      <c r="DA249" s="8"/>
      <c r="DB249" s="8"/>
      <c r="DC249" s="8"/>
      <c r="DD249" s="8"/>
      <c r="DE249" s="8"/>
      <c r="DF249" s="8"/>
      <c r="DG249" s="8"/>
      <c r="DH249" s="8"/>
      <c r="DI249" s="8"/>
      <c r="DJ249" s="8"/>
      <c r="DK249" s="8"/>
      <c r="DL249" s="8"/>
      <c r="DM249" s="8"/>
      <c r="DN249" s="8"/>
      <c r="DO249" s="8"/>
      <c r="DP249" s="8"/>
      <c r="DQ249" s="8"/>
      <c r="DR249" s="8"/>
      <c r="DS249" s="8"/>
      <c r="DT249" s="8"/>
      <c r="DU249" s="8"/>
      <c r="DV249" s="8"/>
      <c r="DW249" s="8"/>
      <c r="DX249" s="8"/>
      <c r="DY249" s="8"/>
      <c r="DZ249" s="8"/>
      <c r="EA249" s="8"/>
      <c r="EB249" s="8"/>
      <c r="EC249" s="8"/>
      <c r="ED249" s="8"/>
      <c r="EE249" s="8"/>
      <c r="EF249" s="8"/>
      <c r="EG249" s="8"/>
      <c r="EH249" s="8"/>
      <c r="EI249" s="8"/>
      <c r="EJ249" s="8"/>
      <c r="EK249" s="8"/>
      <c r="EL249" s="8"/>
      <c r="EM249" s="8"/>
      <c r="EN249" s="8"/>
      <c r="EO249" s="8"/>
      <c r="EP249" s="8"/>
      <c r="EQ249" s="8"/>
      <c r="ER249" s="8"/>
      <c r="ES249" s="8"/>
      <c r="ET249" s="8"/>
      <c r="EU249" s="8"/>
      <c r="EV249" s="8"/>
      <c r="EW249" s="8"/>
      <c r="EX249" s="8"/>
      <c r="EY249" s="8"/>
      <c r="EZ249" s="8"/>
      <c r="FA249" s="8"/>
      <c r="FB249" s="8"/>
      <c r="FC249" s="8"/>
      <c r="FD249" s="8"/>
      <c r="FE249" s="8"/>
      <c r="FF249" s="8"/>
      <c r="FG249" s="8"/>
      <c r="FH249" s="8"/>
      <c r="FI249" s="8"/>
      <c r="FJ249" s="8"/>
      <c r="FK249" s="8"/>
      <c r="FL249" s="8"/>
      <c r="FM249" s="8"/>
      <c r="FN249" s="8"/>
      <c r="FO249" s="8"/>
      <c r="FP249" s="8"/>
      <c r="FQ249" s="8"/>
      <c r="FR249" s="8"/>
      <c r="FS249" s="8"/>
      <c r="FT249" s="8"/>
      <c r="FU249" s="8"/>
      <c r="FV249" s="8"/>
      <c r="FW249" s="8"/>
      <c r="FX249" s="8"/>
      <c r="FY249" s="8"/>
      <c r="FZ249" s="8"/>
      <c r="GA249" s="8"/>
      <c r="GB249" s="8"/>
      <c r="GC249" s="8"/>
      <c r="GD249" s="8"/>
      <c r="GE249" s="8"/>
      <c r="GF249" s="8"/>
      <c r="GG249" s="8"/>
      <c r="GH249" s="8"/>
      <c r="GI249" s="8"/>
      <c r="GJ249" s="8"/>
      <c r="GK249" s="8"/>
      <c r="GL249" s="8"/>
      <c r="GM249" s="8"/>
      <c r="GN249" s="8"/>
      <c r="GO249" s="8"/>
      <c r="GP249" s="8"/>
      <c r="GQ249" s="8"/>
      <c r="GR249" s="8"/>
      <c r="GS249" s="8"/>
      <c r="GT249" s="8"/>
      <c r="GU249" s="8"/>
      <c r="GV249" s="8"/>
      <c r="GW249" s="8"/>
      <c r="GX249" s="8"/>
      <c r="GY249" s="8"/>
      <c r="GZ249" s="8"/>
      <c r="HA249" s="8"/>
      <c r="HB249" s="8"/>
      <c r="HC249" s="8"/>
      <c r="HD249" s="8"/>
      <c r="HE249" s="8"/>
      <c r="HF249" s="8"/>
      <c r="HG249" s="8"/>
      <c r="HH249" s="8"/>
      <c r="HI249" s="8"/>
      <c r="HJ249" s="8"/>
      <c r="HK249" s="8"/>
      <c r="HL249" s="8"/>
      <c r="HM249" s="8"/>
      <c r="HN249" s="8"/>
      <c r="HO249" s="8"/>
      <c r="HP249" s="8"/>
      <c r="HQ249" s="8"/>
      <c r="HR249" s="8"/>
      <c r="HS249" s="8"/>
      <c r="HT249" s="8"/>
      <c r="HU249" s="8"/>
      <c r="HV249" s="8"/>
      <c r="HW249" s="8"/>
      <c r="HX249" s="8"/>
      <c r="HY249" s="8"/>
      <c r="HZ249" s="8"/>
      <c r="IA249" s="8"/>
      <c r="IB249" s="8"/>
      <c r="IC249" s="8"/>
      <c r="ID249" s="8"/>
      <c r="IE249" s="8"/>
      <c r="IF249" s="8"/>
      <c r="IG249" s="8"/>
      <c r="IH249" s="8"/>
      <c r="II249" s="8"/>
      <c r="IJ249" s="8"/>
      <c r="IK249" s="8"/>
      <c r="IL249" s="8"/>
      <c r="IM249" s="8"/>
    </row>
    <row r="250" spans="1:247" x14ac:dyDescent="0.25">
      <c r="A250" s="4">
        <v>8721</v>
      </c>
      <c r="B250" s="9" t="s">
        <v>268</v>
      </c>
      <c r="C250" s="10" t="s">
        <v>7</v>
      </c>
      <c r="D250" s="1721" t="s">
        <v>3061</v>
      </c>
      <c r="E250" s="1728"/>
      <c r="F250" s="1723">
        <f t="shared" si="58"/>
        <v>1.0209999999999999</v>
      </c>
      <c r="G250" s="1729"/>
      <c r="H250" s="1728"/>
      <c r="I250" s="1730"/>
      <c r="J250" s="1730"/>
      <c r="K250" s="1730"/>
      <c r="L250" s="1730"/>
      <c r="M250" s="1730"/>
      <c r="N250" s="1729"/>
      <c r="O250" s="1731"/>
      <c r="P250" s="1728">
        <f>+$P$3</f>
        <v>1.032</v>
      </c>
      <c r="Q250" s="1729">
        <f>+$Q$3</f>
        <v>1.0349999999999999</v>
      </c>
      <c r="R250" s="1732">
        <f t="shared" si="59"/>
        <v>1.0905505199999999</v>
      </c>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c r="CA250" s="8"/>
      <c r="CB250" s="8"/>
      <c r="CC250" s="8"/>
      <c r="CD250" s="8"/>
      <c r="CE250" s="8"/>
      <c r="CF250" s="8"/>
      <c r="CG250" s="8"/>
      <c r="CH250" s="8"/>
      <c r="CI250" s="8"/>
      <c r="CJ250" s="8"/>
      <c r="CK250" s="8"/>
      <c r="CL250" s="8"/>
      <c r="CM250" s="8"/>
      <c r="CN250" s="8"/>
      <c r="CO250" s="8"/>
      <c r="CP250" s="8"/>
      <c r="CQ250" s="8"/>
      <c r="CR250" s="8"/>
      <c r="CS250" s="8"/>
      <c r="CT250" s="8"/>
      <c r="CU250" s="8"/>
      <c r="CV250" s="8"/>
      <c r="CW250" s="8"/>
      <c r="CX250" s="8"/>
      <c r="CY250" s="8"/>
      <c r="CZ250" s="8"/>
      <c r="DA250" s="8"/>
      <c r="DB250" s="8"/>
      <c r="DC250" s="8"/>
      <c r="DD250" s="8"/>
      <c r="DE250" s="8"/>
      <c r="DF250" s="8"/>
      <c r="DG250" s="8"/>
      <c r="DH250" s="8"/>
      <c r="DI250" s="8"/>
      <c r="DJ250" s="8"/>
      <c r="DK250" s="8"/>
      <c r="DL250" s="8"/>
      <c r="DM250" s="8"/>
      <c r="DN250" s="8"/>
      <c r="DO250" s="8"/>
      <c r="DP250" s="8"/>
      <c r="DQ250" s="8"/>
      <c r="DR250" s="8"/>
      <c r="DS250" s="8"/>
      <c r="DT250" s="8"/>
      <c r="DU250" s="8"/>
      <c r="DV250" s="8"/>
      <c r="DW250" s="8"/>
      <c r="DX250" s="8"/>
      <c r="DY250" s="8"/>
      <c r="DZ250" s="8"/>
      <c r="EA250" s="8"/>
      <c r="EB250" s="8"/>
      <c r="EC250" s="8"/>
      <c r="ED250" s="8"/>
      <c r="EE250" s="8"/>
      <c r="EF250" s="8"/>
      <c r="EG250" s="8"/>
      <c r="EH250" s="8"/>
      <c r="EI250" s="8"/>
      <c r="EJ250" s="8"/>
      <c r="EK250" s="8"/>
      <c r="EL250" s="8"/>
      <c r="EM250" s="8"/>
      <c r="EN250" s="8"/>
      <c r="EO250" s="8"/>
      <c r="EP250" s="8"/>
      <c r="EQ250" s="8"/>
      <c r="ER250" s="8"/>
      <c r="ES250" s="8"/>
      <c r="ET250" s="8"/>
      <c r="EU250" s="8"/>
      <c r="EV250" s="8"/>
      <c r="EW250" s="8"/>
      <c r="EX250" s="8"/>
      <c r="EY250" s="8"/>
      <c r="EZ250" s="8"/>
      <c r="FA250" s="8"/>
      <c r="FB250" s="8"/>
      <c r="FC250" s="8"/>
      <c r="FD250" s="8"/>
      <c r="FE250" s="8"/>
      <c r="FF250" s="8"/>
      <c r="FG250" s="8"/>
      <c r="FH250" s="8"/>
      <c r="FI250" s="8"/>
      <c r="FJ250" s="8"/>
      <c r="FK250" s="8"/>
      <c r="FL250" s="8"/>
      <c r="FM250" s="8"/>
      <c r="FN250" s="8"/>
      <c r="FO250" s="8"/>
      <c r="FP250" s="8"/>
      <c r="FQ250" s="8"/>
      <c r="FR250" s="8"/>
      <c r="FS250" s="8"/>
      <c r="FT250" s="8"/>
      <c r="FU250" s="8"/>
      <c r="FV250" s="8"/>
      <c r="FW250" s="8"/>
      <c r="FX250" s="8"/>
      <c r="FY250" s="8"/>
      <c r="FZ250" s="8"/>
      <c r="GA250" s="8"/>
      <c r="GB250" s="8"/>
      <c r="GC250" s="8"/>
      <c r="GD250" s="8"/>
      <c r="GE250" s="8"/>
      <c r="GF250" s="8"/>
      <c r="GG250" s="8"/>
      <c r="GH250" s="8"/>
      <c r="GI250" s="8"/>
      <c r="GJ250" s="8"/>
      <c r="GK250" s="8"/>
      <c r="GL250" s="8"/>
      <c r="GM250" s="8"/>
      <c r="GN250" s="8"/>
      <c r="GO250" s="8"/>
      <c r="GP250" s="8"/>
      <c r="GQ250" s="8"/>
      <c r="GR250" s="8"/>
      <c r="GS250" s="8"/>
      <c r="GT250" s="8"/>
      <c r="GU250" s="8"/>
      <c r="GV250" s="8"/>
      <c r="GW250" s="8"/>
      <c r="GX250" s="8"/>
      <c r="GY250" s="8"/>
      <c r="GZ250" s="8"/>
      <c r="HA250" s="8"/>
      <c r="HB250" s="8"/>
      <c r="HC250" s="8"/>
      <c r="HD250" s="8"/>
      <c r="HE250" s="8"/>
      <c r="HF250" s="8"/>
      <c r="HG250" s="8"/>
      <c r="HH250" s="8"/>
      <c r="HI250" s="8"/>
      <c r="HJ250" s="8"/>
      <c r="HK250" s="8"/>
      <c r="HL250" s="8"/>
      <c r="HM250" s="8"/>
      <c r="HN250" s="8"/>
      <c r="HO250" s="8"/>
      <c r="HP250" s="8"/>
      <c r="HQ250" s="8"/>
      <c r="HR250" s="8"/>
      <c r="HS250" s="8"/>
      <c r="HT250" s="8"/>
      <c r="HU250" s="8"/>
      <c r="HV250" s="8"/>
      <c r="HW250" s="8"/>
      <c r="HX250" s="8"/>
      <c r="HY250" s="8"/>
      <c r="HZ250" s="8"/>
      <c r="IA250" s="8"/>
      <c r="IB250" s="8"/>
      <c r="IC250" s="8"/>
      <c r="ID250" s="8"/>
      <c r="IE250" s="8"/>
      <c r="IF250" s="8"/>
      <c r="IG250" s="8"/>
      <c r="IH250" s="8"/>
      <c r="II250" s="8"/>
      <c r="IJ250" s="8"/>
      <c r="IK250" s="8"/>
      <c r="IL250" s="8"/>
      <c r="IM250" s="8"/>
    </row>
    <row r="251" spans="1:247" x14ac:dyDescent="0.25">
      <c r="A251" s="4">
        <v>8722</v>
      </c>
      <c r="B251" s="9" t="s">
        <v>269</v>
      </c>
      <c r="C251" s="10" t="s">
        <v>7</v>
      </c>
      <c r="D251" s="1721" t="s">
        <v>3061</v>
      </c>
      <c r="E251" s="1728"/>
      <c r="F251" s="1723">
        <f t="shared" si="58"/>
        <v>1.0209999999999999</v>
      </c>
      <c r="G251" s="1729"/>
      <c r="H251" s="1728"/>
      <c r="I251" s="1730"/>
      <c r="J251" s="1730"/>
      <c r="K251" s="1730"/>
      <c r="L251" s="1730"/>
      <c r="M251" s="1730"/>
      <c r="N251" s="1729"/>
      <c r="O251" s="1731"/>
      <c r="P251" s="1728">
        <f>+$P$3</f>
        <v>1.032</v>
      </c>
      <c r="Q251" s="1729">
        <f>+$Q$3</f>
        <v>1.0349999999999999</v>
      </c>
      <c r="R251" s="1732">
        <f t="shared" si="59"/>
        <v>1.0905505199999999</v>
      </c>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c r="CA251" s="8"/>
      <c r="CB251" s="8"/>
      <c r="CC251" s="8"/>
      <c r="CD251" s="8"/>
      <c r="CE251" s="8"/>
      <c r="CF251" s="8"/>
      <c r="CG251" s="8"/>
      <c r="CH251" s="8"/>
      <c r="CI251" s="8"/>
      <c r="CJ251" s="8"/>
      <c r="CK251" s="8"/>
      <c r="CL251" s="8"/>
      <c r="CM251" s="8"/>
      <c r="CN251" s="8"/>
      <c r="CO251" s="8"/>
      <c r="CP251" s="8"/>
      <c r="CQ251" s="8"/>
      <c r="CR251" s="8"/>
      <c r="CS251" s="8"/>
      <c r="CT251" s="8"/>
      <c r="CU251" s="8"/>
      <c r="CV251" s="8"/>
      <c r="CW251" s="8"/>
      <c r="CX251" s="8"/>
      <c r="CY251" s="8"/>
      <c r="CZ251" s="8"/>
      <c r="DA251" s="8"/>
      <c r="DB251" s="8"/>
      <c r="DC251" s="8"/>
      <c r="DD251" s="8"/>
      <c r="DE251" s="8"/>
      <c r="DF251" s="8"/>
      <c r="DG251" s="8"/>
      <c r="DH251" s="8"/>
      <c r="DI251" s="8"/>
      <c r="DJ251" s="8"/>
      <c r="DK251" s="8"/>
      <c r="DL251" s="8"/>
      <c r="DM251" s="8"/>
      <c r="DN251" s="8"/>
      <c r="DO251" s="8"/>
      <c r="DP251" s="8"/>
      <c r="DQ251" s="8"/>
      <c r="DR251" s="8"/>
      <c r="DS251" s="8"/>
      <c r="DT251" s="8"/>
      <c r="DU251" s="8"/>
      <c r="DV251" s="8"/>
      <c r="DW251" s="8"/>
      <c r="DX251" s="8"/>
      <c r="DY251" s="8"/>
      <c r="DZ251" s="8"/>
      <c r="EA251" s="8"/>
      <c r="EB251" s="8"/>
      <c r="EC251" s="8"/>
      <c r="ED251" s="8"/>
      <c r="EE251" s="8"/>
      <c r="EF251" s="8"/>
      <c r="EG251" s="8"/>
      <c r="EH251" s="8"/>
      <c r="EI251" s="8"/>
      <c r="EJ251" s="8"/>
      <c r="EK251" s="8"/>
      <c r="EL251" s="8"/>
      <c r="EM251" s="8"/>
      <c r="EN251" s="8"/>
      <c r="EO251" s="8"/>
      <c r="EP251" s="8"/>
      <c r="EQ251" s="8"/>
      <c r="ER251" s="8"/>
      <c r="ES251" s="8"/>
      <c r="ET251" s="8"/>
      <c r="EU251" s="8"/>
      <c r="EV251" s="8"/>
      <c r="EW251" s="8"/>
      <c r="EX251" s="8"/>
      <c r="EY251" s="8"/>
      <c r="EZ251" s="8"/>
      <c r="FA251" s="8"/>
      <c r="FB251" s="8"/>
      <c r="FC251" s="8"/>
      <c r="FD251" s="8"/>
      <c r="FE251" s="8"/>
      <c r="FF251" s="8"/>
      <c r="FG251" s="8"/>
      <c r="FH251" s="8"/>
      <c r="FI251" s="8"/>
      <c r="FJ251" s="8"/>
      <c r="FK251" s="8"/>
      <c r="FL251" s="8"/>
      <c r="FM251" s="8"/>
      <c r="FN251" s="8"/>
      <c r="FO251" s="8"/>
      <c r="FP251" s="8"/>
      <c r="FQ251" s="8"/>
      <c r="FR251" s="8"/>
      <c r="FS251" s="8"/>
      <c r="FT251" s="8"/>
      <c r="FU251" s="8"/>
      <c r="FV251" s="8"/>
      <c r="FW251" s="8"/>
      <c r="FX251" s="8"/>
      <c r="FY251" s="8"/>
      <c r="FZ251" s="8"/>
      <c r="GA251" s="8"/>
      <c r="GB251" s="8"/>
      <c r="GC251" s="8"/>
      <c r="GD251" s="8"/>
      <c r="GE251" s="8"/>
      <c r="GF251" s="8"/>
      <c r="GG251" s="8"/>
      <c r="GH251" s="8"/>
      <c r="GI251" s="8"/>
      <c r="GJ251" s="8"/>
      <c r="GK251" s="8"/>
      <c r="GL251" s="8"/>
      <c r="GM251" s="8"/>
      <c r="GN251" s="8"/>
      <c r="GO251" s="8"/>
      <c r="GP251" s="8"/>
      <c r="GQ251" s="8"/>
      <c r="GR251" s="8"/>
      <c r="GS251" s="8"/>
      <c r="GT251" s="8"/>
      <c r="GU251" s="8"/>
      <c r="GV251" s="8"/>
      <c r="GW251" s="8"/>
      <c r="GX251" s="8"/>
      <c r="GY251" s="8"/>
      <c r="GZ251" s="8"/>
      <c r="HA251" s="8"/>
      <c r="HB251" s="8"/>
      <c r="HC251" s="8"/>
      <c r="HD251" s="8"/>
      <c r="HE251" s="8"/>
      <c r="HF251" s="8"/>
      <c r="HG251" s="8"/>
      <c r="HH251" s="8"/>
      <c r="HI251" s="8"/>
      <c r="HJ251" s="8"/>
      <c r="HK251" s="8"/>
      <c r="HL251" s="8"/>
      <c r="HM251" s="8"/>
      <c r="HN251" s="8"/>
      <c r="HO251" s="8"/>
      <c r="HP251" s="8"/>
      <c r="HQ251" s="8"/>
      <c r="HR251" s="8"/>
      <c r="HS251" s="8"/>
      <c r="HT251" s="8"/>
      <c r="HU251" s="8"/>
      <c r="HV251" s="8"/>
      <c r="HW251" s="8"/>
      <c r="HX251" s="8"/>
      <c r="HY251" s="8"/>
      <c r="HZ251" s="8"/>
      <c r="IA251" s="8"/>
      <c r="IB251" s="8"/>
      <c r="IC251" s="8"/>
      <c r="ID251" s="8"/>
      <c r="IE251" s="8"/>
      <c r="IF251" s="8"/>
      <c r="IG251" s="8"/>
      <c r="IH251" s="8"/>
      <c r="II251" s="8"/>
      <c r="IJ251" s="8"/>
      <c r="IK251" s="8"/>
      <c r="IL251" s="8"/>
      <c r="IM251" s="8"/>
    </row>
    <row r="252" spans="1:247" x14ac:dyDescent="0.25">
      <c r="A252" s="4">
        <v>8813</v>
      </c>
      <c r="B252" s="9" t="s">
        <v>270</v>
      </c>
      <c r="C252" s="10" t="s">
        <v>7</v>
      </c>
      <c r="D252" s="1721" t="s">
        <v>3061</v>
      </c>
      <c r="E252" s="1728"/>
      <c r="F252" s="1723">
        <f t="shared" si="58"/>
        <v>1.0209999999999999</v>
      </c>
      <c r="G252" s="1729"/>
      <c r="H252" s="1728"/>
      <c r="I252" s="1730"/>
      <c r="J252" s="1730"/>
      <c r="K252" s="1730"/>
      <c r="L252" s="1730"/>
      <c r="M252" s="1730"/>
      <c r="N252" s="1729"/>
      <c r="O252" s="1731"/>
      <c r="P252" s="1728">
        <f>+$P$3</f>
        <v>1.032</v>
      </c>
      <c r="Q252" s="1729">
        <f>+$Q$3</f>
        <v>1.0349999999999999</v>
      </c>
      <c r="R252" s="1732">
        <f t="shared" si="59"/>
        <v>1.0905505199999999</v>
      </c>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c r="CA252" s="8"/>
      <c r="CB252" s="8"/>
      <c r="CC252" s="8"/>
      <c r="CD252" s="8"/>
      <c r="CE252" s="8"/>
      <c r="CF252" s="8"/>
      <c r="CG252" s="8"/>
      <c r="CH252" s="8"/>
      <c r="CI252" s="8"/>
      <c r="CJ252" s="8"/>
      <c r="CK252" s="8"/>
      <c r="CL252" s="8"/>
      <c r="CM252" s="8"/>
      <c r="CN252" s="8"/>
      <c r="CO252" s="8"/>
      <c r="CP252" s="8"/>
      <c r="CQ252" s="8"/>
      <c r="CR252" s="8"/>
      <c r="CS252" s="8"/>
      <c r="CT252" s="8"/>
      <c r="CU252" s="8"/>
      <c r="CV252" s="8"/>
      <c r="CW252" s="8"/>
      <c r="CX252" s="8"/>
      <c r="CY252" s="8"/>
      <c r="CZ252" s="8"/>
      <c r="DA252" s="8"/>
      <c r="DB252" s="8"/>
      <c r="DC252" s="8"/>
      <c r="DD252" s="8"/>
      <c r="DE252" s="8"/>
      <c r="DF252" s="8"/>
      <c r="DG252" s="8"/>
      <c r="DH252" s="8"/>
      <c r="DI252" s="8"/>
      <c r="DJ252" s="8"/>
      <c r="DK252" s="8"/>
      <c r="DL252" s="8"/>
      <c r="DM252" s="8"/>
      <c r="DN252" s="8"/>
      <c r="DO252" s="8"/>
      <c r="DP252" s="8"/>
      <c r="DQ252" s="8"/>
      <c r="DR252" s="8"/>
      <c r="DS252" s="8"/>
      <c r="DT252" s="8"/>
      <c r="DU252" s="8"/>
      <c r="DV252" s="8"/>
      <c r="DW252" s="8"/>
      <c r="DX252" s="8"/>
      <c r="DY252" s="8"/>
      <c r="DZ252" s="8"/>
      <c r="EA252" s="8"/>
      <c r="EB252" s="8"/>
      <c r="EC252" s="8"/>
      <c r="ED252" s="8"/>
      <c r="EE252" s="8"/>
      <c r="EF252" s="8"/>
      <c r="EG252" s="8"/>
      <c r="EH252" s="8"/>
      <c r="EI252" s="8"/>
      <c r="EJ252" s="8"/>
      <c r="EK252" s="8"/>
      <c r="EL252" s="8"/>
      <c r="EM252" s="8"/>
      <c r="EN252" s="8"/>
      <c r="EO252" s="8"/>
      <c r="EP252" s="8"/>
      <c r="EQ252" s="8"/>
      <c r="ER252" s="8"/>
      <c r="ES252" s="8"/>
      <c r="ET252" s="8"/>
      <c r="EU252" s="8"/>
      <c r="EV252" s="8"/>
      <c r="EW252" s="8"/>
      <c r="EX252" s="8"/>
      <c r="EY252" s="8"/>
      <c r="EZ252" s="8"/>
      <c r="FA252" s="8"/>
      <c r="FB252" s="8"/>
      <c r="FC252" s="8"/>
      <c r="FD252" s="8"/>
      <c r="FE252" s="8"/>
      <c r="FF252" s="8"/>
      <c r="FG252" s="8"/>
      <c r="FH252" s="8"/>
      <c r="FI252" s="8"/>
      <c r="FJ252" s="8"/>
      <c r="FK252" s="8"/>
      <c r="FL252" s="8"/>
      <c r="FM252" s="8"/>
      <c r="FN252" s="8"/>
      <c r="FO252" s="8"/>
      <c r="FP252" s="8"/>
      <c r="FQ252" s="8"/>
      <c r="FR252" s="8"/>
      <c r="FS252" s="8"/>
      <c r="FT252" s="8"/>
      <c r="FU252" s="8"/>
      <c r="FV252" s="8"/>
      <c r="FW252" s="8"/>
      <c r="FX252" s="8"/>
      <c r="FY252" s="8"/>
      <c r="FZ252" s="8"/>
      <c r="GA252" s="8"/>
      <c r="GB252" s="8"/>
      <c r="GC252" s="8"/>
      <c r="GD252" s="8"/>
      <c r="GE252" s="8"/>
      <c r="GF252" s="8"/>
      <c r="GG252" s="8"/>
      <c r="GH252" s="8"/>
      <c r="GI252" s="8"/>
      <c r="GJ252" s="8"/>
      <c r="GK252" s="8"/>
      <c r="GL252" s="8"/>
      <c r="GM252" s="8"/>
      <c r="GN252" s="8"/>
      <c r="GO252" s="8"/>
      <c r="GP252" s="8"/>
      <c r="GQ252" s="8"/>
      <c r="GR252" s="8"/>
      <c r="GS252" s="8"/>
      <c r="GT252" s="8"/>
      <c r="GU252" s="8"/>
      <c r="GV252" s="8"/>
      <c r="GW252" s="8"/>
      <c r="GX252" s="8"/>
      <c r="GY252" s="8"/>
      <c r="GZ252" s="8"/>
      <c r="HA252" s="8"/>
      <c r="HB252" s="8"/>
      <c r="HC252" s="8"/>
      <c r="HD252" s="8"/>
      <c r="HE252" s="8"/>
      <c r="HF252" s="8"/>
      <c r="HG252" s="8"/>
      <c r="HH252" s="8"/>
      <c r="HI252" s="8"/>
      <c r="HJ252" s="8"/>
      <c r="HK252" s="8"/>
      <c r="HL252" s="8"/>
      <c r="HM252" s="8"/>
      <c r="HN252" s="8"/>
      <c r="HO252" s="8"/>
      <c r="HP252" s="8"/>
      <c r="HQ252" s="8"/>
      <c r="HR252" s="8"/>
      <c r="HS252" s="8"/>
      <c r="HT252" s="8"/>
      <c r="HU252" s="8"/>
      <c r="HV252" s="8"/>
      <c r="HW252" s="8"/>
      <c r="HX252" s="8"/>
      <c r="HY252" s="8"/>
      <c r="HZ252" s="8"/>
      <c r="IA252" s="8"/>
      <c r="IB252" s="8"/>
      <c r="IC252" s="8"/>
      <c r="ID252" s="8"/>
      <c r="IE252" s="8"/>
      <c r="IF252" s="8"/>
      <c r="IG252" s="8"/>
      <c r="IH252" s="8"/>
      <c r="II252" s="8"/>
      <c r="IJ252" s="8"/>
      <c r="IK252" s="8"/>
      <c r="IL252" s="8"/>
      <c r="IM252" s="8"/>
    </row>
    <row r="253" spans="1:247" x14ac:dyDescent="0.25">
      <c r="A253" s="4">
        <v>8910</v>
      </c>
      <c r="B253" s="9" t="s">
        <v>271</v>
      </c>
      <c r="C253" s="10" t="s">
        <v>9</v>
      </c>
      <c r="D253" s="1721" t="s">
        <v>3062</v>
      </c>
      <c r="E253" s="1728"/>
      <c r="F253" s="1723">
        <f t="shared" si="58"/>
        <v>1.0209999999999999</v>
      </c>
      <c r="G253" s="1729">
        <f>+$G$3</f>
        <v>1.0269999999999999</v>
      </c>
      <c r="H253" s="1728">
        <f>+$H$3</f>
        <v>1.0029999999999999</v>
      </c>
      <c r="I253" s="1730"/>
      <c r="J253" s="1730">
        <f>+$J$3</f>
        <v>1.0049999999999999</v>
      </c>
      <c r="K253" s="1730"/>
      <c r="L253" s="1730"/>
      <c r="M253" s="1730"/>
      <c r="N253" s="1729">
        <f>+$N$3</f>
        <v>1.0029999999999999</v>
      </c>
      <c r="O253" s="1731"/>
      <c r="P253" s="1728">
        <f>+$P$3</f>
        <v>1.032</v>
      </c>
      <c r="Q253" s="1729">
        <f>+$Q$3</f>
        <v>1.0349999999999999</v>
      </c>
      <c r="R253" s="1732">
        <f t="shared" si="59"/>
        <v>1.1323590634842093</v>
      </c>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c r="CA253" s="8"/>
      <c r="CB253" s="8"/>
      <c r="CC253" s="8"/>
      <c r="CD253" s="8"/>
      <c r="CE253" s="8"/>
      <c r="CF253" s="8"/>
      <c r="CG253" s="8"/>
      <c r="CH253" s="8"/>
      <c r="CI253" s="8"/>
      <c r="CJ253" s="8"/>
      <c r="CK253" s="8"/>
      <c r="CL253" s="8"/>
      <c r="CM253" s="8"/>
      <c r="CN253" s="8"/>
      <c r="CO253" s="8"/>
      <c r="CP253" s="8"/>
      <c r="CQ253" s="8"/>
      <c r="CR253" s="8"/>
      <c r="CS253" s="8"/>
      <c r="CT253" s="8"/>
      <c r="CU253" s="8"/>
      <c r="CV253" s="8"/>
      <c r="CW253" s="8"/>
      <c r="CX253" s="8"/>
      <c r="CY253" s="8"/>
      <c r="CZ253" s="8"/>
      <c r="DA253" s="8"/>
      <c r="DB253" s="8"/>
      <c r="DC253" s="8"/>
      <c r="DD253" s="8"/>
      <c r="DE253" s="8"/>
      <c r="DF253" s="8"/>
      <c r="DG253" s="8"/>
      <c r="DH253" s="8"/>
      <c r="DI253" s="8"/>
      <c r="DJ253" s="8"/>
      <c r="DK253" s="8"/>
      <c r="DL253" s="8"/>
      <c r="DM253" s="8"/>
      <c r="DN253" s="8"/>
      <c r="DO253" s="8"/>
      <c r="DP253" s="8"/>
      <c r="DQ253" s="8"/>
      <c r="DR253" s="8"/>
      <c r="DS253" s="8"/>
      <c r="DT253" s="8"/>
      <c r="DU253" s="8"/>
      <c r="DV253" s="8"/>
      <c r="DW253" s="8"/>
      <c r="DX253" s="8"/>
      <c r="DY253" s="8"/>
      <c r="DZ253" s="8"/>
      <c r="EA253" s="8"/>
      <c r="EB253" s="8"/>
      <c r="EC253" s="8"/>
      <c r="ED253" s="8"/>
      <c r="EE253" s="8"/>
      <c r="EF253" s="8"/>
      <c r="EG253" s="8"/>
      <c r="EH253" s="8"/>
      <c r="EI253" s="8"/>
      <c r="EJ253" s="8"/>
      <c r="EK253" s="8"/>
      <c r="EL253" s="8"/>
      <c r="EM253" s="8"/>
      <c r="EN253" s="8"/>
      <c r="EO253" s="8"/>
      <c r="EP253" s="8"/>
      <c r="EQ253" s="8"/>
      <c r="ER253" s="8"/>
      <c r="ES253" s="8"/>
      <c r="ET253" s="8"/>
      <c r="EU253" s="8"/>
      <c r="EV253" s="8"/>
      <c r="EW253" s="8"/>
      <c r="EX253" s="8"/>
      <c r="EY253" s="8"/>
      <c r="EZ253" s="8"/>
      <c r="FA253" s="8"/>
      <c r="FB253" s="8"/>
      <c r="FC253" s="8"/>
      <c r="FD253" s="8"/>
      <c r="FE253" s="8"/>
      <c r="FF253" s="8"/>
      <c r="FG253" s="8"/>
      <c r="FH253" s="8"/>
      <c r="FI253" s="8"/>
      <c r="FJ253" s="8"/>
      <c r="FK253" s="8"/>
      <c r="FL253" s="8"/>
      <c r="FM253" s="8"/>
      <c r="FN253" s="8"/>
      <c r="FO253" s="8"/>
      <c r="FP253" s="8"/>
      <c r="FQ253" s="8"/>
      <c r="FR253" s="8"/>
      <c r="FS253" s="8"/>
      <c r="FT253" s="8"/>
      <c r="FU253" s="8"/>
      <c r="FV253" s="8"/>
      <c r="FW253" s="8"/>
      <c r="FX253" s="8"/>
      <c r="FY253" s="8"/>
      <c r="FZ253" s="8"/>
      <c r="GA253" s="8"/>
      <c r="GB253" s="8"/>
      <c r="GC253" s="8"/>
      <c r="GD253" s="8"/>
      <c r="GE253" s="8"/>
      <c r="GF253" s="8"/>
      <c r="GG253" s="8"/>
      <c r="GH253" s="8"/>
      <c r="GI253" s="8"/>
      <c r="GJ253" s="8"/>
      <c r="GK253" s="8"/>
      <c r="GL253" s="8"/>
      <c r="GM253" s="8"/>
      <c r="GN253" s="8"/>
      <c r="GO253" s="8"/>
      <c r="GP253" s="8"/>
      <c r="GQ253" s="8"/>
      <c r="GR253" s="8"/>
      <c r="GS253" s="8"/>
      <c r="GT253" s="8"/>
      <c r="GU253" s="8"/>
      <c r="GV253" s="8"/>
      <c r="GW253" s="8"/>
      <c r="GX253" s="8"/>
      <c r="GY253" s="8"/>
      <c r="GZ253" s="8"/>
      <c r="HA253" s="8"/>
      <c r="HB253" s="8"/>
      <c r="HC253" s="8"/>
      <c r="HD253" s="8"/>
      <c r="HE253" s="8"/>
      <c r="HF253" s="8"/>
      <c r="HG253" s="8"/>
      <c r="HH253" s="8"/>
      <c r="HI253" s="8"/>
      <c r="HJ253" s="8"/>
      <c r="HK253" s="8"/>
      <c r="HL253" s="8"/>
      <c r="HM253" s="8"/>
      <c r="HN253" s="8"/>
      <c r="HO253" s="8"/>
      <c r="HP253" s="8"/>
      <c r="HQ253" s="8"/>
      <c r="HR253" s="8"/>
      <c r="HS253" s="8"/>
      <c r="HT253" s="8"/>
      <c r="HU253" s="8"/>
      <c r="HV253" s="8"/>
      <c r="HW253" s="8"/>
      <c r="HX253" s="8"/>
      <c r="HY253" s="8"/>
      <c r="HZ253" s="8"/>
      <c r="IA253" s="8"/>
      <c r="IB253" s="8"/>
      <c r="IC253" s="8"/>
      <c r="ID253" s="8"/>
      <c r="IE253" s="8"/>
      <c r="IF253" s="8"/>
      <c r="IG253" s="8"/>
      <c r="IH253" s="8"/>
      <c r="II253" s="8"/>
      <c r="IJ253" s="8"/>
      <c r="IK253" s="8"/>
      <c r="IL253" s="8"/>
      <c r="IM253" s="8"/>
    </row>
    <row r="254" spans="1:247" x14ac:dyDescent="0.25">
      <c r="A254" s="4">
        <v>8921</v>
      </c>
      <c r="B254" s="9" t="s">
        <v>272</v>
      </c>
      <c r="C254" s="10" t="s">
        <v>11</v>
      </c>
      <c r="D254" s="1721" t="s">
        <v>3060</v>
      </c>
      <c r="E254" s="1728"/>
      <c r="F254" s="1723">
        <f t="shared" si="58"/>
        <v>1.0209999999999999</v>
      </c>
      <c r="G254" s="1729">
        <f>+$G$3</f>
        <v>1.0269999999999999</v>
      </c>
      <c r="H254" s="1728"/>
      <c r="I254" s="1730"/>
      <c r="J254" s="1730"/>
      <c r="K254" s="1730"/>
      <c r="L254" s="1730"/>
      <c r="M254" s="1730"/>
      <c r="N254" s="1729"/>
      <c r="O254" s="1731"/>
      <c r="P254" s="1728">
        <f>+$P$3</f>
        <v>1.032</v>
      </c>
      <c r="Q254" s="1729">
        <f>+$Q$3</f>
        <v>1.0349999999999999</v>
      </c>
      <c r="R254" s="1732">
        <f t="shared" si="59"/>
        <v>1.1199953840399997</v>
      </c>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c r="CA254" s="8"/>
      <c r="CB254" s="8"/>
      <c r="CC254" s="8"/>
      <c r="CD254" s="8"/>
      <c r="CE254" s="8"/>
      <c r="CF254" s="8"/>
      <c r="CG254" s="8"/>
      <c r="CH254" s="8"/>
      <c r="CI254" s="8"/>
      <c r="CJ254" s="8"/>
      <c r="CK254" s="8"/>
      <c r="CL254" s="8"/>
      <c r="CM254" s="8"/>
      <c r="CN254" s="8"/>
      <c r="CO254" s="8"/>
      <c r="CP254" s="8"/>
      <c r="CQ254" s="8"/>
      <c r="CR254" s="8"/>
      <c r="CS254" s="8"/>
      <c r="CT254" s="8"/>
      <c r="CU254" s="8"/>
      <c r="CV254" s="8"/>
      <c r="CW254" s="8"/>
      <c r="CX254" s="8"/>
      <c r="CY254" s="8"/>
      <c r="CZ254" s="8"/>
      <c r="DA254" s="8"/>
      <c r="DB254" s="8"/>
      <c r="DC254" s="8"/>
      <c r="DD254" s="8"/>
      <c r="DE254" s="8"/>
      <c r="DF254" s="8"/>
      <c r="DG254" s="8"/>
      <c r="DH254" s="8"/>
      <c r="DI254" s="8"/>
      <c r="DJ254" s="8"/>
      <c r="DK254" s="8"/>
      <c r="DL254" s="8"/>
      <c r="DM254" s="8"/>
      <c r="DN254" s="8"/>
      <c r="DO254" s="8"/>
      <c r="DP254" s="8"/>
      <c r="DQ254" s="8"/>
      <c r="DR254" s="8"/>
      <c r="DS254" s="8"/>
      <c r="DT254" s="8"/>
      <c r="DU254" s="8"/>
      <c r="DV254" s="8"/>
      <c r="DW254" s="8"/>
      <c r="DX254" s="8"/>
      <c r="DY254" s="8"/>
      <c r="DZ254" s="8"/>
      <c r="EA254" s="8"/>
      <c r="EB254" s="8"/>
      <c r="EC254" s="8"/>
      <c r="ED254" s="8"/>
      <c r="EE254" s="8"/>
      <c r="EF254" s="8"/>
      <c r="EG254" s="8"/>
      <c r="EH254" s="8"/>
      <c r="EI254" s="8"/>
      <c r="EJ254" s="8"/>
      <c r="EK254" s="8"/>
      <c r="EL254" s="8"/>
      <c r="EM254" s="8"/>
      <c r="EN254" s="8"/>
      <c r="EO254" s="8"/>
      <c r="EP254" s="8"/>
      <c r="EQ254" s="8"/>
      <c r="ER254" s="8"/>
      <c r="ES254" s="8"/>
      <c r="ET254" s="8"/>
      <c r="EU254" s="8"/>
      <c r="EV254" s="8"/>
      <c r="EW254" s="8"/>
      <c r="EX254" s="8"/>
      <c r="EY254" s="8"/>
      <c r="EZ254" s="8"/>
      <c r="FA254" s="8"/>
      <c r="FB254" s="8"/>
      <c r="FC254" s="8"/>
      <c r="FD254" s="8"/>
      <c r="FE254" s="8"/>
      <c r="FF254" s="8"/>
      <c r="FG254" s="8"/>
      <c r="FH254" s="8"/>
      <c r="FI254" s="8"/>
      <c r="FJ254" s="8"/>
      <c r="FK254" s="8"/>
      <c r="FL254" s="8"/>
      <c r="FM254" s="8"/>
      <c r="FN254" s="8"/>
      <c r="FO254" s="8"/>
      <c r="FP254" s="8"/>
      <c r="FQ254" s="8"/>
      <c r="FR254" s="8"/>
      <c r="FS254" s="8"/>
      <c r="FT254" s="8"/>
      <c r="FU254" s="8"/>
      <c r="FV254" s="8"/>
      <c r="FW254" s="8"/>
      <c r="FX254" s="8"/>
      <c r="FY254" s="8"/>
      <c r="FZ254" s="8"/>
      <c r="GA254" s="8"/>
      <c r="GB254" s="8"/>
      <c r="GC254" s="8"/>
      <c r="GD254" s="8"/>
      <c r="GE254" s="8"/>
      <c r="GF254" s="8"/>
      <c r="GG254" s="8"/>
      <c r="GH254" s="8"/>
      <c r="GI254" s="8"/>
      <c r="GJ254" s="8"/>
      <c r="GK254" s="8"/>
      <c r="GL254" s="8"/>
      <c r="GM254" s="8"/>
      <c r="GN254" s="8"/>
      <c r="GO254" s="8"/>
      <c r="GP254" s="8"/>
      <c r="GQ254" s="8"/>
      <c r="GR254" s="8"/>
      <c r="GS254" s="8"/>
      <c r="GT254" s="8"/>
      <c r="GU254" s="8"/>
      <c r="GV254" s="8"/>
      <c r="GW254" s="8"/>
      <c r="GX254" s="8"/>
      <c r="GY254" s="8"/>
      <c r="GZ254" s="8"/>
      <c r="HA254" s="8"/>
      <c r="HB254" s="8"/>
      <c r="HC254" s="8"/>
      <c r="HD254" s="8"/>
      <c r="HE254" s="8"/>
      <c r="HF254" s="8"/>
      <c r="HG254" s="8"/>
      <c r="HH254" s="8"/>
      <c r="HI254" s="8"/>
      <c r="HJ254" s="8"/>
      <c r="HK254" s="8"/>
      <c r="HL254" s="8"/>
      <c r="HM254" s="8"/>
      <c r="HN254" s="8"/>
      <c r="HO254" s="8"/>
      <c r="HP254" s="8"/>
      <c r="HQ254" s="8"/>
      <c r="HR254" s="8"/>
      <c r="HS254" s="8"/>
      <c r="HT254" s="8"/>
      <c r="HU254" s="8"/>
      <c r="HV254" s="8"/>
      <c r="HW254" s="8"/>
      <c r="HX254" s="8"/>
      <c r="HY254" s="8"/>
      <c r="HZ254" s="8"/>
      <c r="IA254" s="8"/>
      <c r="IB254" s="8"/>
      <c r="IC254" s="8"/>
      <c r="ID254" s="8"/>
      <c r="IE254" s="8"/>
      <c r="IF254" s="8"/>
      <c r="IG254" s="8"/>
      <c r="IH254" s="8"/>
      <c r="II254" s="8"/>
      <c r="IJ254" s="8"/>
      <c r="IK254" s="8"/>
      <c r="IL254" s="8"/>
      <c r="IM254" s="8"/>
    </row>
    <row r="255" spans="1:247" x14ac:dyDescent="0.25">
      <c r="A255" s="4">
        <v>8922</v>
      </c>
      <c r="B255" s="9" t="s">
        <v>273</v>
      </c>
      <c r="C255" s="10" t="s">
        <v>11</v>
      </c>
      <c r="D255" s="1721" t="s">
        <v>3060</v>
      </c>
      <c r="E255" s="1728"/>
      <c r="F255" s="1723">
        <f t="shared" si="58"/>
        <v>1.0209999999999999</v>
      </c>
      <c r="G255" s="1729"/>
      <c r="H255" s="1728"/>
      <c r="I255" s="1730"/>
      <c r="J255" s="1730"/>
      <c r="K255" s="1730"/>
      <c r="L255" s="1730"/>
      <c r="M255" s="1730"/>
      <c r="N255" s="1729"/>
      <c r="O255" s="1731"/>
      <c r="P255" s="1728"/>
      <c r="Q255" s="1729"/>
      <c r="R255" s="1732">
        <f t="shared" si="59"/>
        <v>1.0209999999999999</v>
      </c>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c r="CT255" s="8"/>
      <c r="CU255" s="8"/>
      <c r="CV255" s="8"/>
      <c r="CW255" s="8"/>
      <c r="CX255" s="8"/>
      <c r="CY255" s="8"/>
      <c r="CZ255" s="8"/>
      <c r="DA255" s="8"/>
      <c r="DB255" s="8"/>
      <c r="DC255" s="8"/>
      <c r="DD255" s="8"/>
      <c r="DE255" s="8"/>
      <c r="DF255" s="8"/>
      <c r="DG255" s="8"/>
      <c r="DH255" s="8"/>
      <c r="DI255" s="8"/>
      <c r="DJ255" s="8"/>
      <c r="DK255" s="8"/>
      <c r="DL255" s="8"/>
      <c r="DM255" s="8"/>
      <c r="DN255" s="8"/>
      <c r="DO255" s="8"/>
      <c r="DP255" s="8"/>
      <c r="DQ255" s="8"/>
      <c r="DR255" s="8"/>
      <c r="DS255" s="8"/>
      <c r="DT255" s="8"/>
      <c r="DU255" s="8"/>
      <c r="DV255" s="8"/>
      <c r="DW255" s="8"/>
      <c r="DX255" s="8"/>
      <c r="DY255" s="8"/>
      <c r="DZ255" s="8"/>
      <c r="EA255" s="8"/>
      <c r="EB255" s="8"/>
      <c r="EC255" s="8"/>
      <c r="ED255" s="8"/>
      <c r="EE255" s="8"/>
      <c r="EF255" s="8"/>
      <c r="EG255" s="8"/>
      <c r="EH255" s="8"/>
      <c r="EI255" s="8"/>
      <c r="EJ255" s="8"/>
      <c r="EK255" s="8"/>
      <c r="EL255" s="8"/>
      <c r="EM255" s="8"/>
      <c r="EN255" s="8"/>
      <c r="EO255" s="8"/>
      <c r="EP255" s="8"/>
      <c r="EQ255" s="8"/>
      <c r="ER255" s="8"/>
      <c r="ES255" s="8"/>
      <c r="ET255" s="8"/>
      <c r="EU255" s="8"/>
      <c r="EV255" s="8"/>
      <c r="EW255" s="8"/>
      <c r="EX255" s="8"/>
      <c r="EY255" s="8"/>
      <c r="EZ255" s="8"/>
      <c r="FA255" s="8"/>
      <c r="FB255" s="8"/>
      <c r="FC255" s="8"/>
      <c r="FD255" s="8"/>
      <c r="FE255" s="8"/>
      <c r="FF255" s="8"/>
      <c r="FG255" s="8"/>
      <c r="FH255" s="8"/>
      <c r="FI255" s="8"/>
      <c r="FJ255" s="8"/>
      <c r="FK255" s="8"/>
      <c r="FL255" s="8"/>
      <c r="FM255" s="8"/>
      <c r="FN255" s="8"/>
      <c r="FO255" s="8"/>
      <c r="FP255" s="8"/>
      <c r="FQ255" s="8"/>
      <c r="FR255" s="8"/>
      <c r="FS255" s="8"/>
      <c r="FT255" s="8"/>
      <c r="FU255" s="8"/>
      <c r="FV255" s="8"/>
      <c r="FW255" s="8"/>
      <c r="FX255" s="8"/>
      <c r="FY255" s="8"/>
      <c r="FZ255" s="8"/>
      <c r="GA255" s="8"/>
      <c r="GB255" s="8"/>
      <c r="GC255" s="8"/>
      <c r="GD255" s="8"/>
      <c r="GE255" s="8"/>
      <c r="GF255" s="8"/>
      <c r="GG255" s="8"/>
      <c r="GH255" s="8"/>
      <c r="GI255" s="8"/>
      <c r="GJ255" s="8"/>
      <c r="GK255" s="8"/>
      <c r="GL255" s="8"/>
      <c r="GM255" s="8"/>
      <c r="GN255" s="8"/>
      <c r="GO255" s="8"/>
      <c r="GP255" s="8"/>
      <c r="GQ255" s="8"/>
      <c r="GR255" s="8"/>
      <c r="GS255" s="8"/>
      <c r="GT255" s="8"/>
      <c r="GU255" s="8"/>
      <c r="GV255" s="8"/>
      <c r="GW255" s="8"/>
      <c r="GX255" s="8"/>
      <c r="GY255" s="8"/>
      <c r="GZ255" s="8"/>
      <c r="HA255" s="8"/>
      <c r="HB255" s="8"/>
      <c r="HC255" s="8"/>
      <c r="HD255" s="8"/>
      <c r="HE255" s="8"/>
      <c r="HF255" s="8"/>
      <c r="HG255" s="8"/>
      <c r="HH255" s="8"/>
      <c r="HI255" s="8"/>
      <c r="HJ255" s="8"/>
      <c r="HK255" s="8"/>
      <c r="HL255" s="8"/>
      <c r="HM255" s="8"/>
      <c r="HN255" s="8"/>
      <c r="HO255" s="8"/>
      <c r="HP255" s="8"/>
      <c r="HQ255" s="8"/>
      <c r="HR255" s="8"/>
      <c r="HS255" s="8"/>
      <c r="HT255" s="8"/>
      <c r="HU255" s="8"/>
      <c r="HV255" s="8"/>
      <c r="HW255" s="8"/>
      <c r="HX255" s="8"/>
      <c r="HY255" s="8"/>
      <c r="HZ255" s="8"/>
      <c r="IA255" s="8"/>
      <c r="IB255" s="8"/>
      <c r="IC255" s="8"/>
      <c r="ID255" s="8"/>
      <c r="IE255" s="8"/>
      <c r="IF255" s="8"/>
      <c r="IG255" s="8"/>
      <c r="IH255" s="8"/>
      <c r="II255" s="8"/>
      <c r="IJ255" s="8"/>
      <c r="IK255" s="8"/>
      <c r="IL255" s="8"/>
      <c r="IM255" s="8"/>
    </row>
    <row r="256" spans="1:247" x14ac:dyDescent="0.25">
      <c r="A256" s="4">
        <v>8923</v>
      </c>
      <c r="B256" s="9" t="s">
        <v>274</v>
      </c>
      <c r="C256" s="10" t="s">
        <v>11</v>
      </c>
      <c r="D256" s="1721" t="s">
        <v>3060</v>
      </c>
      <c r="E256" s="1728"/>
      <c r="F256" s="1723">
        <f t="shared" si="58"/>
        <v>1.0209999999999999</v>
      </c>
      <c r="G256" s="1729"/>
      <c r="H256" s="1728"/>
      <c r="I256" s="1730"/>
      <c r="J256" s="1730"/>
      <c r="K256" s="1730"/>
      <c r="L256" s="1730"/>
      <c r="M256" s="1730"/>
      <c r="N256" s="1729">
        <f>+$N$3</f>
        <v>1.0029999999999999</v>
      </c>
      <c r="O256" s="1731"/>
      <c r="P256" s="1728"/>
      <c r="Q256" s="1729"/>
      <c r="R256" s="1732">
        <f t="shared" si="59"/>
        <v>1.0240629999999997</v>
      </c>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c r="CA256" s="8"/>
      <c r="CB256" s="8"/>
      <c r="CC256" s="8"/>
      <c r="CD256" s="8"/>
      <c r="CE256" s="8"/>
      <c r="CF256" s="8"/>
      <c r="CG256" s="8"/>
      <c r="CH256" s="8"/>
      <c r="CI256" s="8"/>
      <c r="CJ256" s="8"/>
      <c r="CK256" s="8"/>
      <c r="CL256" s="8"/>
      <c r="CM256" s="8"/>
      <c r="CN256" s="8"/>
      <c r="CO256" s="8"/>
      <c r="CP256" s="8"/>
      <c r="CQ256" s="8"/>
      <c r="CR256" s="8"/>
      <c r="CS256" s="8"/>
      <c r="CT256" s="8"/>
      <c r="CU256" s="8"/>
      <c r="CV256" s="8"/>
      <c r="CW256" s="8"/>
      <c r="CX256" s="8"/>
      <c r="CY256" s="8"/>
      <c r="CZ256" s="8"/>
      <c r="DA256" s="8"/>
      <c r="DB256" s="8"/>
      <c r="DC256" s="8"/>
      <c r="DD256" s="8"/>
      <c r="DE256" s="8"/>
      <c r="DF256" s="8"/>
      <c r="DG256" s="8"/>
      <c r="DH256" s="8"/>
      <c r="DI256" s="8"/>
      <c r="DJ256" s="8"/>
      <c r="DK256" s="8"/>
      <c r="DL256" s="8"/>
      <c r="DM256" s="8"/>
      <c r="DN256" s="8"/>
      <c r="DO256" s="8"/>
      <c r="DP256" s="8"/>
      <c r="DQ256" s="8"/>
      <c r="DR256" s="8"/>
      <c r="DS256" s="8"/>
      <c r="DT256" s="8"/>
      <c r="DU256" s="8"/>
      <c r="DV256" s="8"/>
      <c r="DW256" s="8"/>
      <c r="DX256" s="8"/>
      <c r="DY256" s="8"/>
      <c r="DZ256" s="8"/>
      <c r="EA256" s="8"/>
      <c r="EB256" s="8"/>
      <c r="EC256" s="8"/>
      <c r="ED256" s="8"/>
      <c r="EE256" s="8"/>
      <c r="EF256" s="8"/>
      <c r="EG256" s="8"/>
      <c r="EH256" s="8"/>
      <c r="EI256" s="8"/>
      <c r="EJ256" s="8"/>
      <c r="EK256" s="8"/>
      <c r="EL256" s="8"/>
      <c r="EM256" s="8"/>
      <c r="EN256" s="8"/>
      <c r="EO256" s="8"/>
      <c r="EP256" s="8"/>
      <c r="EQ256" s="8"/>
      <c r="ER256" s="8"/>
      <c r="ES256" s="8"/>
      <c r="ET256" s="8"/>
      <c r="EU256" s="8"/>
      <c r="EV256" s="8"/>
      <c r="EW256" s="8"/>
      <c r="EX256" s="8"/>
      <c r="EY256" s="8"/>
      <c r="EZ256" s="8"/>
      <c r="FA256" s="8"/>
      <c r="FB256" s="8"/>
      <c r="FC256" s="8"/>
      <c r="FD256" s="8"/>
      <c r="FE256" s="8"/>
      <c r="FF256" s="8"/>
      <c r="FG256" s="8"/>
      <c r="FH256" s="8"/>
      <c r="FI256" s="8"/>
      <c r="FJ256" s="8"/>
      <c r="FK256" s="8"/>
      <c r="FL256" s="8"/>
      <c r="FM256" s="8"/>
      <c r="FN256" s="8"/>
      <c r="FO256" s="8"/>
      <c r="FP256" s="8"/>
      <c r="FQ256" s="8"/>
      <c r="FR256" s="8"/>
      <c r="FS256" s="8"/>
      <c r="FT256" s="8"/>
      <c r="FU256" s="8"/>
      <c r="FV256" s="8"/>
      <c r="FW256" s="8"/>
      <c r="FX256" s="8"/>
      <c r="FY256" s="8"/>
      <c r="FZ256" s="8"/>
      <c r="GA256" s="8"/>
      <c r="GB256" s="8"/>
      <c r="GC256" s="8"/>
      <c r="GD256" s="8"/>
      <c r="GE256" s="8"/>
      <c r="GF256" s="8"/>
      <c r="GG256" s="8"/>
      <c r="GH256" s="8"/>
      <c r="GI256" s="8"/>
      <c r="GJ256" s="8"/>
      <c r="GK256" s="8"/>
      <c r="GL256" s="8"/>
      <c r="GM256" s="8"/>
      <c r="GN256" s="8"/>
      <c r="GO256" s="8"/>
      <c r="GP256" s="8"/>
      <c r="GQ256" s="8"/>
      <c r="GR256" s="8"/>
      <c r="GS256" s="8"/>
      <c r="GT256" s="8"/>
      <c r="GU256" s="8"/>
      <c r="GV256" s="8"/>
      <c r="GW256" s="8"/>
      <c r="GX256" s="8"/>
      <c r="GY256" s="8"/>
      <c r="GZ256" s="8"/>
      <c r="HA256" s="8"/>
      <c r="HB256" s="8"/>
      <c r="HC256" s="8"/>
      <c r="HD256" s="8"/>
      <c r="HE256" s="8"/>
      <c r="HF256" s="8"/>
      <c r="HG256" s="8"/>
      <c r="HH256" s="8"/>
      <c r="HI256" s="8"/>
      <c r="HJ256" s="8"/>
      <c r="HK256" s="8"/>
      <c r="HL256" s="8"/>
      <c r="HM256" s="8"/>
      <c r="HN256" s="8"/>
      <c r="HO256" s="8"/>
      <c r="HP256" s="8"/>
      <c r="HQ256" s="8"/>
      <c r="HR256" s="8"/>
      <c r="HS256" s="8"/>
      <c r="HT256" s="8"/>
      <c r="HU256" s="8"/>
      <c r="HV256" s="8"/>
      <c r="HW256" s="8"/>
      <c r="HX256" s="8"/>
      <c r="HY256" s="8"/>
      <c r="HZ256" s="8"/>
      <c r="IA256" s="8"/>
      <c r="IB256" s="8"/>
      <c r="IC256" s="8"/>
      <c r="ID256" s="8"/>
      <c r="IE256" s="8"/>
      <c r="IF256" s="8"/>
      <c r="IG256" s="8"/>
      <c r="IH256" s="8"/>
      <c r="II256" s="8"/>
      <c r="IJ256" s="8"/>
      <c r="IK256" s="8"/>
      <c r="IL256" s="8"/>
      <c r="IM256" s="8"/>
    </row>
    <row r="257" spans="1:247" x14ac:dyDescent="0.25">
      <c r="A257" s="4">
        <v>8924</v>
      </c>
      <c r="B257" s="9" t="s">
        <v>275</v>
      </c>
      <c r="C257" s="10" t="s">
        <v>11</v>
      </c>
      <c r="D257" s="1721" t="s">
        <v>3060</v>
      </c>
      <c r="E257" s="1728"/>
      <c r="F257" s="1723">
        <f t="shared" si="58"/>
        <v>1.0209999999999999</v>
      </c>
      <c r="G257" s="1729"/>
      <c r="H257" s="1728"/>
      <c r="I257" s="1730"/>
      <c r="J257" s="1730"/>
      <c r="K257" s="1730"/>
      <c r="L257" s="1730"/>
      <c r="M257" s="1730"/>
      <c r="N257" s="1729">
        <f>+$N$3</f>
        <v>1.0029999999999999</v>
      </c>
      <c r="O257" s="1731"/>
      <c r="P257" s="1728"/>
      <c r="Q257" s="1729"/>
      <c r="R257" s="1732">
        <f t="shared" si="59"/>
        <v>1.0240629999999997</v>
      </c>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c r="CA257" s="8"/>
      <c r="CB257" s="8"/>
      <c r="CC257" s="8"/>
      <c r="CD257" s="8"/>
      <c r="CE257" s="8"/>
      <c r="CF257" s="8"/>
      <c r="CG257" s="8"/>
      <c r="CH257" s="8"/>
      <c r="CI257" s="8"/>
      <c r="CJ257" s="8"/>
      <c r="CK257" s="8"/>
      <c r="CL257" s="8"/>
      <c r="CM257" s="8"/>
      <c r="CN257" s="8"/>
      <c r="CO257" s="8"/>
      <c r="CP257" s="8"/>
      <c r="CQ257" s="8"/>
      <c r="CR257" s="8"/>
      <c r="CS257" s="8"/>
      <c r="CT257" s="8"/>
      <c r="CU257" s="8"/>
      <c r="CV257" s="8"/>
      <c r="CW257" s="8"/>
      <c r="CX257" s="8"/>
      <c r="CY257" s="8"/>
      <c r="CZ257" s="8"/>
      <c r="DA257" s="8"/>
      <c r="DB257" s="8"/>
      <c r="DC257" s="8"/>
      <c r="DD257" s="8"/>
      <c r="DE257" s="8"/>
      <c r="DF257" s="8"/>
      <c r="DG257" s="8"/>
      <c r="DH257" s="8"/>
      <c r="DI257" s="8"/>
      <c r="DJ257" s="8"/>
      <c r="DK257" s="8"/>
      <c r="DL257" s="8"/>
      <c r="DM257" s="8"/>
      <c r="DN257" s="8"/>
      <c r="DO257" s="8"/>
      <c r="DP257" s="8"/>
      <c r="DQ257" s="8"/>
      <c r="DR257" s="8"/>
      <c r="DS257" s="8"/>
      <c r="DT257" s="8"/>
      <c r="DU257" s="8"/>
      <c r="DV257" s="8"/>
      <c r="DW257" s="8"/>
      <c r="DX257" s="8"/>
      <c r="DY257" s="8"/>
      <c r="DZ257" s="8"/>
      <c r="EA257" s="8"/>
      <c r="EB257" s="8"/>
      <c r="EC257" s="8"/>
      <c r="ED257" s="8"/>
      <c r="EE257" s="8"/>
      <c r="EF257" s="8"/>
      <c r="EG257" s="8"/>
      <c r="EH257" s="8"/>
      <c r="EI257" s="8"/>
      <c r="EJ257" s="8"/>
      <c r="EK257" s="8"/>
      <c r="EL257" s="8"/>
      <c r="EM257" s="8"/>
      <c r="EN257" s="8"/>
      <c r="EO257" s="8"/>
      <c r="EP257" s="8"/>
      <c r="EQ257" s="8"/>
      <c r="ER257" s="8"/>
      <c r="ES257" s="8"/>
      <c r="ET257" s="8"/>
      <c r="EU257" s="8"/>
      <c r="EV257" s="8"/>
      <c r="EW257" s="8"/>
      <c r="EX257" s="8"/>
      <c r="EY257" s="8"/>
      <c r="EZ257" s="8"/>
      <c r="FA257" s="8"/>
      <c r="FB257" s="8"/>
      <c r="FC257" s="8"/>
      <c r="FD257" s="8"/>
      <c r="FE257" s="8"/>
      <c r="FF257" s="8"/>
      <c r="FG257" s="8"/>
      <c r="FH257" s="8"/>
      <c r="FI257" s="8"/>
      <c r="FJ257" s="8"/>
      <c r="FK257" s="8"/>
      <c r="FL257" s="8"/>
      <c r="FM257" s="8"/>
      <c r="FN257" s="8"/>
      <c r="FO257" s="8"/>
      <c r="FP257" s="8"/>
      <c r="FQ257" s="8"/>
      <c r="FR257" s="8"/>
      <c r="FS257" s="8"/>
      <c r="FT257" s="8"/>
      <c r="FU257" s="8"/>
      <c r="FV257" s="8"/>
      <c r="FW257" s="8"/>
      <c r="FX257" s="8"/>
      <c r="FY257" s="8"/>
      <c r="FZ257" s="8"/>
      <c r="GA257" s="8"/>
      <c r="GB257" s="8"/>
      <c r="GC257" s="8"/>
      <c r="GD257" s="8"/>
      <c r="GE257" s="8"/>
      <c r="GF257" s="8"/>
      <c r="GG257" s="8"/>
      <c r="GH257" s="8"/>
      <c r="GI257" s="8"/>
      <c r="GJ257" s="8"/>
      <c r="GK257" s="8"/>
      <c r="GL257" s="8"/>
      <c r="GM257" s="8"/>
      <c r="GN257" s="8"/>
      <c r="GO257" s="8"/>
      <c r="GP257" s="8"/>
      <c r="GQ257" s="8"/>
      <c r="GR257" s="8"/>
      <c r="GS257" s="8"/>
      <c r="GT257" s="8"/>
      <c r="GU257" s="8"/>
      <c r="GV257" s="8"/>
      <c r="GW257" s="8"/>
      <c r="GX257" s="8"/>
      <c r="GY257" s="8"/>
      <c r="GZ257" s="8"/>
      <c r="HA257" s="8"/>
      <c r="HB257" s="8"/>
      <c r="HC257" s="8"/>
      <c r="HD257" s="8"/>
      <c r="HE257" s="8"/>
      <c r="HF257" s="8"/>
      <c r="HG257" s="8"/>
      <c r="HH257" s="8"/>
      <c r="HI257" s="8"/>
      <c r="HJ257" s="8"/>
      <c r="HK257" s="8"/>
      <c r="HL257" s="8"/>
      <c r="HM257" s="8"/>
      <c r="HN257" s="8"/>
      <c r="HO257" s="8"/>
      <c r="HP257" s="8"/>
      <c r="HQ257" s="8"/>
      <c r="HR257" s="8"/>
      <c r="HS257" s="8"/>
      <c r="HT257" s="8"/>
      <c r="HU257" s="8"/>
      <c r="HV257" s="8"/>
      <c r="HW257" s="8"/>
      <c r="HX257" s="8"/>
      <c r="HY257" s="8"/>
      <c r="HZ257" s="8"/>
      <c r="IA257" s="8"/>
      <c r="IB257" s="8"/>
      <c r="IC257" s="8"/>
      <c r="ID257" s="8"/>
      <c r="IE257" s="8"/>
      <c r="IF257" s="8"/>
      <c r="IG257" s="8"/>
      <c r="IH257" s="8"/>
      <c r="II257" s="8"/>
      <c r="IJ257" s="8"/>
      <c r="IK257" s="8"/>
      <c r="IL257" s="8"/>
      <c r="IM257" s="8"/>
    </row>
    <row r="258" spans="1:247" x14ac:dyDescent="0.25">
      <c r="A258" s="4">
        <v>8926</v>
      </c>
      <c r="B258" s="9" t="s">
        <v>276</v>
      </c>
      <c r="C258" s="10" t="s">
        <v>11</v>
      </c>
      <c r="D258" s="1721" t="s">
        <v>3060</v>
      </c>
      <c r="E258" s="1728"/>
      <c r="F258" s="1723">
        <f t="shared" si="58"/>
        <v>1.0209999999999999</v>
      </c>
      <c r="G258" s="1729">
        <f>+$G$3</f>
        <v>1.0269999999999999</v>
      </c>
      <c r="H258" s="1728"/>
      <c r="I258" s="1730"/>
      <c r="J258" s="1730"/>
      <c r="K258" s="1730"/>
      <c r="L258" s="1730"/>
      <c r="M258" s="1730"/>
      <c r="N258" s="1729">
        <f>+$N$3</f>
        <v>1.0029999999999999</v>
      </c>
      <c r="O258" s="1731"/>
      <c r="P258" s="1728"/>
      <c r="Q258" s="1729"/>
      <c r="R258" s="1732">
        <f t="shared" si="59"/>
        <v>1.0517127009999996</v>
      </c>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c r="CA258" s="8"/>
      <c r="CB258" s="8"/>
      <c r="CC258" s="8"/>
      <c r="CD258" s="8"/>
      <c r="CE258" s="8"/>
      <c r="CF258" s="8"/>
      <c r="CG258" s="8"/>
      <c r="CH258" s="8"/>
      <c r="CI258" s="8"/>
      <c r="CJ258" s="8"/>
      <c r="CK258" s="8"/>
      <c r="CL258" s="8"/>
      <c r="CM258" s="8"/>
      <c r="CN258" s="8"/>
      <c r="CO258" s="8"/>
      <c r="CP258" s="8"/>
      <c r="CQ258" s="8"/>
      <c r="CR258" s="8"/>
      <c r="CS258" s="8"/>
      <c r="CT258" s="8"/>
      <c r="CU258" s="8"/>
      <c r="CV258" s="8"/>
      <c r="CW258" s="8"/>
      <c r="CX258" s="8"/>
      <c r="CY258" s="8"/>
      <c r="CZ258" s="8"/>
      <c r="DA258" s="8"/>
      <c r="DB258" s="8"/>
      <c r="DC258" s="8"/>
      <c r="DD258" s="8"/>
      <c r="DE258" s="8"/>
      <c r="DF258" s="8"/>
      <c r="DG258" s="8"/>
      <c r="DH258" s="8"/>
      <c r="DI258" s="8"/>
      <c r="DJ258" s="8"/>
      <c r="DK258" s="8"/>
      <c r="DL258" s="8"/>
      <c r="DM258" s="8"/>
      <c r="DN258" s="8"/>
      <c r="DO258" s="8"/>
      <c r="DP258" s="8"/>
      <c r="DQ258" s="8"/>
      <c r="DR258" s="8"/>
      <c r="DS258" s="8"/>
      <c r="DT258" s="8"/>
      <c r="DU258" s="8"/>
      <c r="DV258" s="8"/>
      <c r="DW258" s="8"/>
      <c r="DX258" s="8"/>
      <c r="DY258" s="8"/>
      <c r="DZ258" s="8"/>
      <c r="EA258" s="8"/>
      <c r="EB258" s="8"/>
      <c r="EC258" s="8"/>
      <c r="ED258" s="8"/>
      <c r="EE258" s="8"/>
      <c r="EF258" s="8"/>
      <c r="EG258" s="8"/>
      <c r="EH258" s="8"/>
      <c r="EI258" s="8"/>
      <c r="EJ258" s="8"/>
      <c r="EK258" s="8"/>
      <c r="EL258" s="8"/>
      <c r="EM258" s="8"/>
      <c r="EN258" s="8"/>
      <c r="EO258" s="8"/>
      <c r="EP258" s="8"/>
      <c r="EQ258" s="8"/>
      <c r="ER258" s="8"/>
      <c r="ES258" s="8"/>
      <c r="ET258" s="8"/>
      <c r="EU258" s="8"/>
      <c r="EV258" s="8"/>
      <c r="EW258" s="8"/>
      <c r="EX258" s="8"/>
      <c r="EY258" s="8"/>
      <c r="EZ258" s="8"/>
      <c r="FA258" s="8"/>
      <c r="FB258" s="8"/>
      <c r="FC258" s="8"/>
      <c r="FD258" s="8"/>
      <c r="FE258" s="8"/>
      <c r="FF258" s="8"/>
      <c r="FG258" s="8"/>
      <c r="FH258" s="8"/>
      <c r="FI258" s="8"/>
      <c r="FJ258" s="8"/>
      <c r="FK258" s="8"/>
      <c r="FL258" s="8"/>
      <c r="FM258" s="8"/>
      <c r="FN258" s="8"/>
      <c r="FO258" s="8"/>
      <c r="FP258" s="8"/>
      <c r="FQ258" s="8"/>
      <c r="FR258" s="8"/>
      <c r="FS258" s="8"/>
      <c r="FT258" s="8"/>
      <c r="FU258" s="8"/>
      <c r="FV258" s="8"/>
      <c r="FW258" s="8"/>
      <c r="FX258" s="8"/>
      <c r="FY258" s="8"/>
      <c r="FZ258" s="8"/>
      <c r="GA258" s="8"/>
      <c r="GB258" s="8"/>
      <c r="GC258" s="8"/>
      <c r="GD258" s="8"/>
      <c r="GE258" s="8"/>
      <c r="GF258" s="8"/>
      <c r="GG258" s="8"/>
      <c r="GH258" s="8"/>
      <c r="GI258" s="8"/>
      <c r="GJ258" s="8"/>
      <c r="GK258" s="8"/>
      <c r="GL258" s="8"/>
      <c r="GM258" s="8"/>
      <c r="GN258" s="8"/>
      <c r="GO258" s="8"/>
      <c r="GP258" s="8"/>
      <c r="GQ258" s="8"/>
      <c r="GR258" s="8"/>
      <c r="GS258" s="8"/>
      <c r="GT258" s="8"/>
      <c r="GU258" s="8"/>
      <c r="GV258" s="8"/>
      <c r="GW258" s="8"/>
      <c r="GX258" s="8"/>
      <c r="GY258" s="8"/>
      <c r="GZ258" s="8"/>
      <c r="HA258" s="8"/>
      <c r="HB258" s="8"/>
      <c r="HC258" s="8"/>
      <c r="HD258" s="8"/>
      <c r="HE258" s="8"/>
      <c r="HF258" s="8"/>
      <c r="HG258" s="8"/>
      <c r="HH258" s="8"/>
      <c r="HI258" s="8"/>
      <c r="HJ258" s="8"/>
      <c r="HK258" s="8"/>
      <c r="HL258" s="8"/>
      <c r="HM258" s="8"/>
      <c r="HN258" s="8"/>
      <c r="HO258" s="8"/>
      <c r="HP258" s="8"/>
      <c r="HQ258" s="8"/>
      <c r="HR258" s="8"/>
      <c r="HS258" s="8"/>
      <c r="HT258" s="8"/>
      <c r="HU258" s="8"/>
      <c r="HV258" s="8"/>
      <c r="HW258" s="8"/>
      <c r="HX258" s="8"/>
      <c r="HY258" s="8"/>
      <c r="HZ258" s="8"/>
      <c r="IA258" s="8"/>
      <c r="IB258" s="8"/>
      <c r="IC258" s="8"/>
      <c r="ID258" s="8"/>
      <c r="IE258" s="8"/>
      <c r="IF258" s="8"/>
      <c r="IG258" s="8"/>
      <c r="IH258" s="8"/>
      <c r="II258" s="8"/>
      <c r="IJ258" s="8"/>
      <c r="IK258" s="8"/>
      <c r="IL258" s="8"/>
      <c r="IM258" s="8"/>
    </row>
    <row r="259" spans="1:247" x14ac:dyDescent="0.25">
      <c r="A259" s="4">
        <v>8927</v>
      </c>
      <c r="B259" s="9" t="s">
        <v>277</v>
      </c>
      <c r="C259" s="10" t="s">
        <v>11</v>
      </c>
      <c r="D259" s="1721" t="s">
        <v>3060</v>
      </c>
      <c r="E259" s="1728"/>
      <c r="F259" s="1723">
        <f t="shared" si="58"/>
        <v>1.0209999999999999</v>
      </c>
      <c r="G259" s="1729"/>
      <c r="H259" s="1728"/>
      <c r="I259" s="1730"/>
      <c r="J259" s="1730"/>
      <c r="K259" s="1730"/>
      <c r="L259" s="1730"/>
      <c r="M259" s="1730"/>
      <c r="N259" s="1729"/>
      <c r="O259" s="1731"/>
      <c r="P259" s="1728"/>
      <c r="Q259" s="1729"/>
      <c r="R259" s="1732">
        <f t="shared" si="59"/>
        <v>1.0209999999999999</v>
      </c>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c r="CA259" s="8"/>
      <c r="CB259" s="8"/>
      <c r="CC259" s="8"/>
      <c r="CD259" s="8"/>
      <c r="CE259" s="8"/>
      <c r="CF259" s="8"/>
      <c r="CG259" s="8"/>
      <c r="CH259" s="8"/>
      <c r="CI259" s="8"/>
      <c r="CJ259" s="8"/>
      <c r="CK259" s="8"/>
      <c r="CL259" s="8"/>
      <c r="CM259" s="8"/>
      <c r="CN259" s="8"/>
      <c r="CO259" s="8"/>
      <c r="CP259" s="8"/>
      <c r="CQ259" s="8"/>
      <c r="CR259" s="8"/>
      <c r="CS259" s="8"/>
      <c r="CT259" s="8"/>
      <c r="CU259" s="8"/>
      <c r="CV259" s="8"/>
      <c r="CW259" s="8"/>
      <c r="CX259" s="8"/>
      <c r="CY259" s="8"/>
      <c r="CZ259" s="8"/>
      <c r="DA259" s="8"/>
      <c r="DB259" s="8"/>
      <c r="DC259" s="8"/>
      <c r="DD259" s="8"/>
      <c r="DE259" s="8"/>
      <c r="DF259" s="8"/>
      <c r="DG259" s="8"/>
      <c r="DH259" s="8"/>
      <c r="DI259" s="8"/>
      <c r="DJ259" s="8"/>
      <c r="DK259" s="8"/>
      <c r="DL259" s="8"/>
      <c r="DM259" s="8"/>
      <c r="DN259" s="8"/>
      <c r="DO259" s="8"/>
      <c r="DP259" s="8"/>
      <c r="DQ259" s="8"/>
      <c r="DR259" s="8"/>
      <c r="DS259" s="8"/>
      <c r="DT259" s="8"/>
      <c r="DU259" s="8"/>
      <c r="DV259" s="8"/>
      <c r="DW259" s="8"/>
      <c r="DX259" s="8"/>
      <c r="DY259" s="8"/>
      <c r="DZ259" s="8"/>
      <c r="EA259" s="8"/>
      <c r="EB259" s="8"/>
      <c r="EC259" s="8"/>
      <c r="ED259" s="8"/>
      <c r="EE259" s="8"/>
      <c r="EF259" s="8"/>
      <c r="EG259" s="8"/>
      <c r="EH259" s="8"/>
      <c r="EI259" s="8"/>
      <c r="EJ259" s="8"/>
      <c r="EK259" s="8"/>
      <c r="EL259" s="8"/>
      <c r="EM259" s="8"/>
      <c r="EN259" s="8"/>
      <c r="EO259" s="8"/>
      <c r="EP259" s="8"/>
      <c r="EQ259" s="8"/>
      <c r="ER259" s="8"/>
      <c r="ES259" s="8"/>
      <c r="ET259" s="8"/>
      <c r="EU259" s="8"/>
      <c r="EV259" s="8"/>
      <c r="EW259" s="8"/>
      <c r="EX259" s="8"/>
      <c r="EY259" s="8"/>
      <c r="EZ259" s="8"/>
      <c r="FA259" s="8"/>
      <c r="FB259" s="8"/>
      <c r="FC259" s="8"/>
      <c r="FD259" s="8"/>
      <c r="FE259" s="8"/>
      <c r="FF259" s="8"/>
      <c r="FG259" s="8"/>
      <c r="FH259" s="8"/>
      <c r="FI259" s="8"/>
      <c r="FJ259" s="8"/>
      <c r="FK259" s="8"/>
      <c r="FL259" s="8"/>
      <c r="FM259" s="8"/>
      <c r="FN259" s="8"/>
      <c r="FO259" s="8"/>
      <c r="FP259" s="8"/>
      <c r="FQ259" s="8"/>
      <c r="FR259" s="8"/>
      <c r="FS259" s="8"/>
      <c r="FT259" s="8"/>
      <c r="FU259" s="8"/>
      <c r="FV259" s="8"/>
      <c r="FW259" s="8"/>
      <c r="FX259" s="8"/>
      <c r="FY259" s="8"/>
      <c r="FZ259" s="8"/>
      <c r="GA259" s="8"/>
      <c r="GB259" s="8"/>
      <c r="GC259" s="8"/>
      <c r="GD259" s="8"/>
      <c r="GE259" s="8"/>
      <c r="GF259" s="8"/>
      <c r="GG259" s="8"/>
      <c r="GH259" s="8"/>
      <c r="GI259" s="8"/>
      <c r="GJ259" s="8"/>
      <c r="GK259" s="8"/>
      <c r="GL259" s="8"/>
      <c r="GM259" s="8"/>
      <c r="GN259" s="8"/>
      <c r="GO259" s="8"/>
      <c r="GP259" s="8"/>
      <c r="GQ259" s="8"/>
      <c r="GR259" s="8"/>
      <c r="GS259" s="8"/>
      <c r="GT259" s="8"/>
      <c r="GU259" s="8"/>
      <c r="GV259" s="8"/>
      <c r="GW259" s="8"/>
      <c r="GX259" s="8"/>
      <c r="GY259" s="8"/>
      <c r="GZ259" s="8"/>
      <c r="HA259" s="8"/>
      <c r="HB259" s="8"/>
      <c r="HC259" s="8"/>
      <c r="HD259" s="8"/>
      <c r="HE259" s="8"/>
      <c r="HF259" s="8"/>
      <c r="HG259" s="8"/>
      <c r="HH259" s="8"/>
      <c r="HI259" s="8"/>
      <c r="HJ259" s="8"/>
      <c r="HK259" s="8"/>
      <c r="HL259" s="8"/>
      <c r="HM259" s="8"/>
      <c r="HN259" s="8"/>
      <c r="HO259" s="8"/>
      <c r="HP259" s="8"/>
      <c r="HQ259" s="8"/>
      <c r="HR259" s="8"/>
      <c r="HS259" s="8"/>
      <c r="HT259" s="8"/>
      <c r="HU259" s="8"/>
      <c r="HV259" s="8"/>
      <c r="HW259" s="8"/>
      <c r="HX259" s="8"/>
      <c r="HY259" s="8"/>
      <c r="HZ259" s="8"/>
      <c r="IA259" s="8"/>
      <c r="IB259" s="8"/>
      <c r="IC259" s="8"/>
      <c r="ID259" s="8"/>
      <c r="IE259" s="8"/>
      <c r="IF259" s="8"/>
      <c r="IG259" s="8"/>
      <c r="IH259" s="8"/>
      <c r="II259" s="8"/>
      <c r="IJ259" s="8"/>
      <c r="IK259" s="8"/>
      <c r="IL259" s="8"/>
      <c r="IM259" s="8"/>
    </row>
    <row r="260" spans="1:247" x14ac:dyDescent="0.25">
      <c r="A260" s="4">
        <v>8928</v>
      </c>
      <c r="B260" s="9" t="s">
        <v>278</v>
      </c>
      <c r="C260" s="10" t="s">
        <v>11</v>
      </c>
      <c r="D260" s="1721" t="s">
        <v>3060</v>
      </c>
      <c r="E260" s="1728"/>
      <c r="F260" s="1723">
        <f t="shared" si="58"/>
        <v>1.0209999999999999</v>
      </c>
      <c r="G260" s="1729"/>
      <c r="H260" s="1728"/>
      <c r="I260" s="1730"/>
      <c r="J260" s="1730"/>
      <c r="K260" s="1730"/>
      <c r="L260" s="1730"/>
      <c r="M260" s="1730"/>
      <c r="N260" s="1729"/>
      <c r="O260" s="1731"/>
      <c r="P260" s="1728"/>
      <c r="Q260" s="1729"/>
      <c r="R260" s="1732">
        <f t="shared" si="59"/>
        <v>1.0209999999999999</v>
      </c>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c r="CA260" s="8"/>
      <c r="CB260" s="8"/>
      <c r="CC260" s="8"/>
      <c r="CD260" s="8"/>
      <c r="CE260" s="8"/>
      <c r="CF260" s="8"/>
      <c r="CG260" s="8"/>
      <c r="CH260" s="8"/>
      <c r="CI260" s="8"/>
      <c r="CJ260" s="8"/>
      <c r="CK260" s="8"/>
      <c r="CL260" s="8"/>
      <c r="CM260" s="8"/>
      <c r="CN260" s="8"/>
      <c r="CO260" s="8"/>
      <c r="CP260" s="8"/>
      <c r="CQ260" s="8"/>
      <c r="CR260" s="8"/>
      <c r="CS260" s="8"/>
      <c r="CT260" s="8"/>
      <c r="CU260" s="8"/>
      <c r="CV260" s="8"/>
      <c r="CW260" s="8"/>
      <c r="CX260" s="8"/>
      <c r="CY260" s="8"/>
      <c r="CZ260" s="8"/>
      <c r="DA260" s="8"/>
      <c r="DB260" s="8"/>
      <c r="DC260" s="8"/>
      <c r="DD260" s="8"/>
      <c r="DE260" s="8"/>
      <c r="DF260" s="8"/>
      <c r="DG260" s="8"/>
      <c r="DH260" s="8"/>
      <c r="DI260" s="8"/>
      <c r="DJ260" s="8"/>
      <c r="DK260" s="8"/>
      <c r="DL260" s="8"/>
      <c r="DM260" s="8"/>
      <c r="DN260" s="8"/>
      <c r="DO260" s="8"/>
      <c r="DP260" s="8"/>
      <c r="DQ260" s="8"/>
      <c r="DR260" s="8"/>
      <c r="DS260" s="8"/>
      <c r="DT260" s="8"/>
      <c r="DU260" s="8"/>
      <c r="DV260" s="8"/>
      <c r="DW260" s="8"/>
      <c r="DX260" s="8"/>
      <c r="DY260" s="8"/>
      <c r="DZ260" s="8"/>
      <c r="EA260" s="8"/>
      <c r="EB260" s="8"/>
      <c r="EC260" s="8"/>
      <c r="ED260" s="8"/>
      <c r="EE260" s="8"/>
      <c r="EF260" s="8"/>
      <c r="EG260" s="8"/>
      <c r="EH260" s="8"/>
      <c r="EI260" s="8"/>
      <c r="EJ260" s="8"/>
      <c r="EK260" s="8"/>
      <c r="EL260" s="8"/>
      <c r="EM260" s="8"/>
      <c r="EN260" s="8"/>
      <c r="EO260" s="8"/>
      <c r="EP260" s="8"/>
      <c r="EQ260" s="8"/>
      <c r="ER260" s="8"/>
      <c r="ES260" s="8"/>
      <c r="ET260" s="8"/>
      <c r="EU260" s="8"/>
      <c r="EV260" s="8"/>
      <c r="EW260" s="8"/>
      <c r="EX260" s="8"/>
      <c r="EY260" s="8"/>
      <c r="EZ260" s="8"/>
      <c r="FA260" s="8"/>
      <c r="FB260" s="8"/>
      <c r="FC260" s="8"/>
      <c r="FD260" s="8"/>
      <c r="FE260" s="8"/>
      <c r="FF260" s="8"/>
      <c r="FG260" s="8"/>
      <c r="FH260" s="8"/>
      <c r="FI260" s="8"/>
      <c r="FJ260" s="8"/>
      <c r="FK260" s="8"/>
      <c r="FL260" s="8"/>
      <c r="FM260" s="8"/>
      <c r="FN260" s="8"/>
      <c r="FO260" s="8"/>
      <c r="FP260" s="8"/>
      <c r="FQ260" s="8"/>
      <c r="FR260" s="8"/>
      <c r="FS260" s="8"/>
      <c r="FT260" s="8"/>
      <c r="FU260" s="8"/>
      <c r="FV260" s="8"/>
      <c r="FW260" s="8"/>
      <c r="FX260" s="8"/>
      <c r="FY260" s="8"/>
      <c r="FZ260" s="8"/>
      <c r="GA260" s="8"/>
      <c r="GB260" s="8"/>
      <c r="GC260" s="8"/>
      <c r="GD260" s="8"/>
      <c r="GE260" s="8"/>
      <c r="GF260" s="8"/>
      <c r="GG260" s="8"/>
      <c r="GH260" s="8"/>
      <c r="GI260" s="8"/>
      <c r="GJ260" s="8"/>
      <c r="GK260" s="8"/>
      <c r="GL260" s="8"/>
      <c r="GM260" s="8"/>
      <c r="GN260" s="8"/>
      <c r="GO260" s="8"/>
      <c r="GP260" s="8"/>
      <c r="GQ260" s="8"/>
      <c r="GR260" s="8"/>
      <c r="GS260" s="8"/>
      <c r="GT260" s="8"/>
      <c r="GU260" s="8"/>
      <c r="GV260" s="8"/>
      <c r="GW260" s="8"/>
      <c r="GX260" s="8"/>
      <c r="GY260" s="8"/>
      <c r="GZ260" s="8"/>
      <c r="HA260" s="8"/>
      <c r="HB260" s="8"/>
      <c r="HC260" s="8"/>
      <c r="HD260" s="8"/>
      <c r="HE260" s="8"/>
      <c r="HF260" s="8"/>
      <c r="HG260" s="8"/>
      <c r="HH260" s="8"/>
      <c r="HI260" s="8"/>
      <c r="HJ260" s="8"/>
      <c r="HK260" s="8"/>
      <c r="HL260" s="8"/>
      <c r="HM260" s="8"/>
      <c r="HN260" s="8"/>
      <c r="HO260" s="8"/>
      <c r="HP260" s="8"/>
      <c r="HQ260" s="8"/>
      <c r="HR260" s="8"/>
      <c r="HS260" s="8"/>
      <c r="HT260" s="8"/>
      <c r="HU260" s="8"/>
      <c r="HV260" s="8"/>
      <c r="HW260" s="8"/>
      <c r="HX260" s="8"/>
      <c r="HY260" s="8"/>
      <c r="HZ260" s="8"/>
      <c r="IA260" s="8"/>
      <c r="IB260" s="8"/>
      <c r="IC260" s="8"/>
      <c r="ID260" s="8"/>
      <c r="IE260" s="8"/>
      <c r="IF260" s="8"/>
      <c r="IG260" s="8"/>
      <c r="IH260" s="8"/>
      <c r="II260" s="8"/>
      <c r="IJ260" s="8"/>
      <c r="IK260" s="8"/>
      <c r="IL260" s="8"/>
      <c r="IM260" s="8"/>
    </row>
    <row r="261" spans="1:247" x14ac:dyDescent="0.25">
      <c r="A261" s="4">
        <v>8929</v>
      </c>
      <c r="B261" s="9" t="s">
        <v>3071</v>
      </c>
      <c r="C261" s="10" t="s">
        <v>11</v>
      </c>
      <c r="D261" s="1721" t="s">
        <v>3060</v>
      </c>
      <c r="E261" s="1728"/>
      <c r="F261" s="1723">
        <f t="shared" si="58"/>
        <v>1.0209999999999999</v>
      </c>
      <c r="G261" s="1729"/>
      <c r="H261" s="1728"/>
      <c r="I261" s="1730"/>
      <c r="J261" s="1730"/>
      <c r="K261" s="1730"/>
      <c r="L261" s="1730"/>
      <c r="M261" s="1730"/>
      <c r="N261" s="1729"/>
      <c r="O261" s="1731"/>
      <c r="P261" s="1728"/>
      <c r="Q261" s="1729"/>
      <c r="R261" s="1732">
        <f t="shared" si="59"/>
        <v>1.0209999999999999</v>
      </c>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c r="CA261" s="8"/>
      <c r="CB261" s="8"/>
      <c r="CC261" s="8"/>
      <c r="CD261" s="8"/>
      <c r="CE261" s="8"/>
      <c r="CF261" s="8"/>
      <c r="CG261" s="8"/>
      <c r="CH261" s="8"/>
      <c r="CI261" s="8"/>
      <c r="CJ261" s="8"/>
      <c r="CK261" s="8"/>
      <c r="CL261" s="8"/>
      <c r="CM261" s="8"/>
      <c r="CN261" s="8"/>
      <c r="CO261" s="8"/>
      <c r="CP261" s="8"/>
      <c r="CQ261" s="8"/>
      <c r="CR261" s="8"/>
      <c r="CS261" s="8"/>
      <c r="CT261" s="8"/>
      <c r="CU261" s="8"/>
      <c r="CV261" s="8"/>
      <c r="CW261" s="8"/>
      <c r="CX261" s="8"/>
      <c r="CY261" s="8"/>
      <c r="CZ261" s="8"/>
      <c r="DA261" s="8"/>
      <c r="DB261" s="8"/>
      <c r="DC261" s="8"/>
      <c r="DD261" s="8"/>
      <c r="DE261" s="8"/>
      <c r="DF261" s="8"/>
      <c r="DG261" s="8"/>
      <c r="DH261" s="8"/>
      <c r="DI261" s="8"/>
      <c r="DJ261" s="8"/>
      <c r="DK261" s="8"/>
      <c r="DL261" s="8"/>
      <c r="DM261" s="8"/>
      <c r="DN261" s="8"/>
      <c r="DO261" s="8"/>
      <c r="DP261" s="8"/>
      <c r="DQ261" s="8"/>
      <c r="DR261" s="8"/>
      <c r="DS261" s="8"/>
      <c r="DT261" s="8"/>
      <c r="DU261" s="8"/>
      <c r="DV261" s="8"/>
      <c r="DW261" s="8"/>
      <c r="DX261" s="8"/>
      <c r="DY261" s="8"/>
      <c r="DZ261" s="8"/>
      <c r="EA261" s="8"/>
      <c r="EB261" s="8"/>
      <c r="EC261" s="8"/>
      <c r="ED261" s="8"/>
      <c r="EE261" s="8"/>
      <c r="EF261" s="8"/>
      <c r="EG261" s="8"/>
      <c r="EH261" s="8"/>
      <c r="EI261" s="8"/>
      <c r="EJ261" s="8"/>
      <c r="EK261" s="8"/>
      <c r="EL261" s="8"/>
      <c r="EM261" s="8"/>
      <c r="EN261" s="8"/>
      <c r="EO261" s="8"/>
      <c r="EP261" s="8"/>
      <c r="EQ261" s="8"/>
      <c r="ER261" s="8"/>
      <c r="ES261" s="8"/>
      <c r="ET261" s="8"/>
      <c r="EU261" s="8"/>
      <c r="EV261" s="8"/>
      <c r="EW261" s="8"/>
      <c r="EX261" s="8"/>
      <c r="EY261" s="8"/>
      <c r="EZ261" s="8"/>
      <c r="FA261" s="8"/>
      <c r="FB261" s="8"/>
      <c r="FC261" s="8"/>
      <c r="FD261" s="8"/>
      <c r="FE261" s="8"/>
      <c r="FF261" s="8"/>
      <c r="FG261" s="8"/>
      <c r="FH261" s="8"/>
      <c r="FI261" s="8"/>
      <c r="FJ261" s="8"/>
      <c r="FK261" s="8"/>
      <c r="FL261" s="8"/>
      <c r="FM261" s="8"/>
      <c r="FN261" s="8"/>
      <c r="FO261" s="8"/>
      <c r="FP261" s="8"/>
      <c r="FQ261" s="8"/>
      <c r="FR261" s="8"/>
      <c r="FS261" s="8"/>
      <c r="FT261" s="8"/>
      <c r="FU261" s="8"/>
      <c r="FV261" s="8"/>
      <c r="FW261" s="8"/>
      <c r="FX261" s="8"/>
      <c r="FY261" s="8"/>
      <c r="FZ261" s="8"/>
      <c r="GA261" s="8"/>
      <c r="GB261" s="8"/>
      <c r="GC261" s="8"/>
      <c r="GD261" s="8"/>
      <c r="GE261" s="8"/>
      <c r="GF261" s="8"/>
      <c r="GG261" s="8"/>
      <c r="GH261" s="8"/>
      <c r="GI261" s="8"/>
      <c r="GJ261" s="8"/>
      <c r="GK261" s="8"/>
      <c r="GL261" s="8"/>
      <c r="GM261" s="8"/>
      <c r="GN261" s="8"/>
      <c r="GO261" s="8"/>
      <c r="GP261" s="8"/>
      <c r="GQ261" s="8"/>
      <c r="GR261" s="8"/>
      <c r="GS261" s="8"/>
      <c r="GT261" s="8"/>
      <c r="GU261" s="8"/>
      <c r="GV261" s="8"/>
      <c r="GW261" s="8"/>
      <c r="GX261" s="8"/>
      <c r="GY261" s="8"/>
      <c r="GZ261" s="8"/>
      <c r="HA261" s="8"/>
      <c r="HB261" s="8"/>
      <c r="HC261" s="8"/>
      <c r="HD261" s="8"/>
      <c r="HE261" s="8"/>
      <c r="HF261" s="8"/>
      <c r="HG261" s="8"/>
      <c r="HH261" s="8"/>
      <c r="HI261" s="8"/>
      <c r="HJ261" s="8"/>
      <c r="HK261" s="8"/>
      <c r="HL261" s="8"/>
      <c r="HM261" s="8"/>
      <c r="HN261" s="8"/>
      <c r="HO261" s="8"/>
      <c r="HP261" s="8"/>
      <c r="HQ261" s="8"/>
      <c r="HR261" s="8"/>
      <c r="HS261" s="8"/>
      <c r="HT261" s="8"/>
      <c r="HU261" s="8"/>
      <c r="HV261" s="8"/>
      <c r="HW261" s="8"/>
      <c r="HX261" s="8"/>
      <c r="HY261" s="8"/>
      <c r="HZ261" s="8"/>
      <c r="IA261" s="8"/>
      <c r="IB261" s="8"/>
      <c r="IC261" s="8"/>
      <c r="ID261" s="8"/>
      <c r="IE261" s="8"/>
      <c r="IF261" s="8"/>
      <c r="IG261" s="8"/>
      <c r="IH261" s="8"/>
      <c r="II261" s="8"/>
      <c r="IJ261" s="8"/>
      <c r="IK261" s="8"/>
      <c r="IL261" s="8"/>
      <c r="IM261" s="8"/>
    </row>
    <row r="262" spans="1:247" x14ac:dyDescent="0.25">
      <c r="A262" s="4">
        <v>8930</v>
      </c>
      <c r="B262" s="9" t="s">
        <v>279</v>
      </c>
      <c r="C262" s="10" t="s">
        <v>7</v>
      </c>
      <c r="D262" s="1721" t="s">
        <v>3061</v>
      </c>
      <c r="E262" s="1728"/>
      <c r="F262" s="1723">
        <f t="shared" si="58"/>
        <v>1.0209999999999999</v>
      </c>
      <c r="G262" s="1729"/>
      <c r="H262" s="1728"/>
      <c r="I262" s="1730"/>
      <c r="J262" s="1730"/>
      <c r="K262" s="1730"/>
      <c r="L262" s="1730"/>
      <c r="M262" s="1730"/>
      <c r="N262" s="1729"/>
      <c r="O262" s="1731"/>
      <c r="P262" s="1728">
        <f>+$P$3</f>
        <v>1.032</v>
      </c>
      <c r="Q262" s="1729">
        <f>+$Q$3</f>
        <v>1.0349999999999999</v>
      </c>
      <c r="R262" s="1732">
        <f t="shared" si="59"/>
        <v>1.0905505199999999</v>
      </c>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c r="CA262" s="8"/>
      <c r="CB262" s="8"/>
      <c r="CC262" s="8"/>
      <c r="CD262" s="8"/>
      <c r="CE262" s="8"/>
      <c r="CF262" s="8"/>
      <c r="CG262" s="8"/>
      <c r="CH262" s="8"/>
      <c r="CI262" s="8"/>
      <c r="CJ262" s="8"/>
      <c r="CK262" s="8"/>
      <c r="CL262" s="8"/>
      <c r="CM262" s="8"/>
      <c r="CN262" s="8"/>
      <c r="CO262" s="8"/>
      <c r="CP262" s="8"/>
      <c r="CQ262" s="8"/>
      <c r="CR262" s="8"/>
      <c r="CS262" s="8"/>
      <c r="CT262" s="8"/>
      <c r="CU262" s="8"/>
      <c r="CV262" s="8"/>
      <c r="CW262" s="8"/>
      <c r="CX262" s="8"/>
      <c r="CY262" s="8"/>
      <c r="CZ262" s="8"/>
      <c r="DA262" s="8"/>
      <c r="DB262" s="8"/>
      <c r="DC262" s="8"/>
      <c r="DD262" s="8"/>
      <c r="DE262" s="8"/>
      <c r="DF262" s="8"/>
      <c r="DG262" s="8"/>
      <c r="DH262" s="8"/>
      <c r="DI262" s="8"/>
      <c r="DJ262" s="8"/>
      <c r="DK262" s="8"/>
      <c r="DL262" s="8"/>
      <c r="DM262" s="8"/>
      <c r="DN262" s="8"/>
      <c r="DO262" s="8"/>
      <c r="DP262" s="8"/>
      <c r="DQ262" s="8"/>
      <c r="DR262" s="8"/>
      <c r="DS262" s="8"/>
      <c r="DT262" s="8"/>
      <c r="DU262" s="8"/>
      <c r="DV262" s="8"/>
      <c r="DW262" s="8"/>
      <c r="DX262" s="8"/>
      <c r="DY262" s="8"/>
      <c r="DZ262" s="8"/>
      <c r="EA262" s="8"/>
      <c r="EB262" s="8"/>
      <c r="EC262" s="8"/>
      <c r="ED262" s="8"/>
      <c r="EE262" s="8"/>
      <c r="EF262" s="8"/>
      <c r="EG262" s="8"/>
      <c r="EH262" s="8"/>
      <c r="EI262" s="8"/>
      <c r="EJ262" s="8"/>
      <c r="EK262" s="8"/>
      <c r="EL262" s="8"/>
      <c r="EM262" s="8"/>
      <c r="EN262" s="8"/>
      <c r="EO262" s="8"/>
      <c r="EP262" s="8"/>
      <c r="EQ262" s="8"/>
      <c r="ER262" s="8"/>
      <c r="ES262" s="8"/>
      <c r="ET262" s="8"/>
      <c r="EU262" s="8"/>
      <c r="EV262" s="8"/>
      <c r="EW262" s="8"/>
      <c r="EX262" s="8"/>
      <c r="EY262" s="8"/>
      <c r="EZ262" s="8"/>
      <c r="FA262" s="8"/>
      <c r="FB262" s="8"/>
      <c r="FC262" s="8"/>
      <c r="FD262" s="8"/>
      <c r="FE262" s="8"/>
      <c r="FF262" s="8"/>
      <c r="FG262" s="8"/>
      <c r="FH262" s="8"/>
      <c r="FI262" s="8"/>
      <c r="FJ262" s="8"/>
      <c r="FK262" s="8"/>
      <c r="FL262" s="8"/>
      <c r="FM262" s="8"/>
      <c r="FN262" s="8"/>
      <c r="FO262" s="8"/>
      <c r="FP262" s="8"/>
      <c r="FQ262" s="8"/>
      <c r="FR262" s="8"/>
      <c r="FS262" s="8"/>
      <c r="FT262" s="8"/>
      <c r="FU262" s="8"/>
      <c r="FV262" s="8"/>
      <c r="FW262" s="8"/>
      <c r="FX262" s="8"/>
      <c r="FY262" s="8"/>
      <c r="FZ262" s="8"/>
      <c r="GA262" s="8"/>
      <c r="GB262" s="8"/>
      <c r="GC262" s="8"/>
      <c r="GD262" s="8"/>
      <c r="GE262" s="8"/>
      <c r="GF262" s="8"/>
      <c r="GG262" s="8"/>
      <c r="GH262" s="8"/>
      <c r="GI262" s="8"/>
      <c r="GJ262" s="8"/>
      <c r="GK262" s="8"/>
      <c r="GL262" s="8"/>
      <c r="GM262" s="8"/>
      <c r="GN262" s="8"/>
      <c r="GO262" s="8"/>
      <c r="GP262" s="8"/>
      <c r="GQ262" s="8"/>
      <c r="GR262" s="8"/>
      <c r="GS262" s="8"/>
      <c r="GT262" s="8"/>
      <c r="GU262" s="8"/>
      <c r="GV262" s="8"/>
      <c r="GW262" s="8"/>
      <c r="GX262" s="8"/>
      <c r="GY262" s="8"/>
      <c r="GZ262" s="8"/>
      <c r="HA262" s="8"/>
      <c r="HB262" s="8"/>
      <c r="HC262" s="8"/>
      <c r="HD262" s="8"/>
      <c r="HE262" s="8"/>
      <c r="HF262" s="8"/>
      <c r="HG262" s="8"/>
      <c r="HH262" s="8"/>
      <c r="HI262" s="8"/>
      <c r="HJ262" s="8"/>
      <c r="HK262" s="8"/>
      <c r="HL262" s="8"/>
      <c r="HM262" s="8"/>
      <c r="HN262" s="8"/>
      <c r="HO262" s="8"/>
      <c r="HP262" s="8"/>
      <c r="HQ262" s="8"/>
      <c r="HR262" s="8"/>
      <c r="HS262" s="8"/>
      <c r="HT262" s="8"/>
      <c r="HU262" s="8"/>
      <c r="HV262" s="8"/>
      <c r="HW262" s="8"/>
      <c r="HX262" s="8"/>
      <c r="HY262" s="8"/>
      <c r="HZ262" s="8"/>
      <c r="IA262" s="8"/>
      <c r="IB262" s="8"/>
      <c r="IC262" s="8"/>
      <c r="ID262" s="8"/>
      <c r="IE262" s="8"/>
      <c r="IF262" s="8"/>
      <c r="IG262" s="8"/>
      <c r="IH262" s="8"/>
      <c r="II262" s="8"/>
      <c r="IJ262" s="8"/>
      <c r="IK262" s="8"/>
      <c r="IL262" s="8"/>
      <c r="IM262" s="8"/>
    </row>
    <row r="263" spans="1:247" x14ac:dyDescent="0.25">
      <c r="A263" s="4">
        <v>8931</v>
      </c>
      <c r="B263" s="9" t="s">
        <v>280</v>
      </c>
      <c r="C263" s="10" t="s">
        <v>7</v>
      </c>
      <c r="D263" s="1721" t="s">
        <v>3061</v>
      </c>
      <c r="E263" s="1728"/>
      <c r="F263" s="1723">
        <f t="shared" si="58"/>
        <v>1.0209999999999999</v>
      </c>
      <c r="G263" s="1729"/>
      <c r="H263" s="1728"/>
      <c r="I263" s="1730"/>
      <c r="J263" s="1730"/>
      <c r="K263" s="1730"/>
      <c r="L263" s="1730"/>
      <c r="M263" s="1730"/>
      <c r="N263" s="1729"/>
      <c r="O263" s="1731"/>
      <c r="P263" s="1728">
        <f>+$P$3</f>
        <v>1.032</v>
      </c>
      <c r="Q263" s="1729">
        <f>+$Q$3</f>
        <v>1.0349999999999999</v>
      </c>
      <c r="R263" s="1732">
        <f t="shared" si="59"/>
        <v>1.0905505199999999</v>
      </c>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c r="CA263" s="8"/>
      <c r="CB263" s="8"/>
      <c r="CC263" s="8"/>
      <c r="CD263" s="8"/>
      <c r="CE263" s="8"/>
      <c r="CF263" s="8"/>
      <c r="CG263" s="8"/>
      <c r="CH263" s="8"/>
      <c r="CI263" s="8"/>
      <c r="CJ263" s="8"/>
      <c r="CK263" s="8"/>
      <c r="CL263" s="8"/>
      <c r="CM263" s="8"/>
      <c r="CN263" s="8"/>
      <c r="CO263" s="8"/>
      <c r="CP263" s="8"/>
      <c r="CQ263" s="8"/>
      <c r="CR263" s="8"/>
      <c r="CS263" s="8"/>
      <c r="CT263" s="8"/>
      <c r="CU263" s="8"/>
      <c r="CV263" s="8"/>
      <c r="CW263" s="8"/>
      <c r="CX263" s="8"/>
      <c r="CY263" s="8"/>
      <c r="CZ263" s="8"/>
      <c r="DA263" s="8"/>
      <c r="DB263" s="8"/>
      <c r="DC263" s="8"/>
      <c r="DD263" s="8"/>
      <c r="DE263" s="8"/>
      <c r="DF263" s="8"/>
      <c r="DG263" s="8"/>
      <c r="DH263" s="8"/>
      <c r="DI263" s="8"/>
      <c r="DJ263" s="8"/>
      <c r="DK263" s="8"/>
      <c r="DL263" s="8"/>
      <c r="DM263" s="8"/>
      <c r="DN263" s="8"/>
      <c r="DO263" s="8"/>
      <c r="DP263" s="8"/>
      <c r="DQ263" s="8"/>
      <c r="DR263" s="8"/>
      <c r="DS263" s="8"/>
      <c r="DT263" s="8"/>
      <c r="DU263" s="8"/>
      <c r="DV263" s="8"/>
      <c r="DW263" s="8"/>
      <c r="DX263" s="8"/>
      <c r="DY263" s="8"/>
      <c r="DZ263" s="8"/>
      <c r="EA263" s="8"/>
      <c r="EB263" s="8"/>
      <c r="EC263" s="8"/>
      <c r="ED263" s="8"/>
      <c r="EE263" s="8"/>
      <c r="EF263" s="8"/>
      <c r="EG263" s="8"/>
      <c r="EH263" s="8"/>
      <c r="EI263" s="8"/>
      <c r="EJ263" s="8"/>
      <c r="EK263" s="8"/>
      <c r="EL263" s="8"/>
      <c r="EM263" s="8"/>
      <c r="EN263" s="8"/>
      <c r="EO263" s="8"/>
      <c r="EP263" s="8"/>
      <c r="EQ263" s="8"/>
      <c r="ER263" s="8"/>
      <c r="ES263" s="8"/>
      <c r="ET263" s="8"/>
      <c r="EU263" s="8"/>
      <c r="EV263" s="8"/>
      <c r="EW263" s="8"/>
      <c r="EX263" s="8"/>
      <c r="EY263" s="8"/>
      <c r="EZ263" s="8"/>
      <c r="FA263" s="8"/>
      <c r="FB263" s="8"/>
      <c r="FC263" s="8"/>
      <c r="FD263" s="8"/>
      <c r="FE263" s="8"/>
      <c r="FF263" s="8"/>
      <c r="FG263" s="8"/>
      <c r="FH263" s="8"/>
      <c r="FI263" s="8"/>
      <c r="FJ263" s="8"/>
      <c r="FK263" s="8"/>
      <c r="FL263" s="8"/>
      <c r="FM263" s="8"/>
      <c r="FN263" s="8"/>
      <c r="FO263" s="8"/>
      <c r="FP263" s="8"/>
      <c r="FQ263" s="8"/>
      <c r="FR263" s="8"/>
      <c r="FS263" s="8"/>
      <c r="FT263" s="8"/>
      <c r="FU263" s="8"/>
      <c r="FV263" s="8"/>
      <c r="FW263" s="8"/>
      <c r="FX263" s="8"/>
      <c r="FY263" s="8"/>
      <c r="FZ263" s="8"/>
      <c r="GA263" s="8"/>
      <c r="GB263" s="8"/>
      <c r="GC263" s="8"/>
      <c r="GD263" s="8"/>
      <c r="GE263" s="8"/>
      <c r="GF263" s="8"/>
      <c r="GG263" s="8"/>
      <c r="GH263" s="8"/>
      <c r="GI263" s="8"/>
      <c r="GJ263" s="8"/>
      <c r="GK263" s="8"/>
      <c r="GL263" s="8"/>
      <c r="GM263" s="8"/>
      <c r="GN263" s="8"/>
      <c r="GO263" s="8"/>
      <c r="GP263" s="8"/>
      <c r="GQ263" s="8"/>
      <c r="GR263" s="8"/>
      <c r="GS263" s="8"/>
      <c r="GT263" s="8"/>
      <c r="GU263" s="8"/>
      <c r="GV263" s="8"/>
      <c r="GW263" s="8"/>
      <c r="GX263" s="8"/>
      <c r="GY263" s="8"/>
      <c r="GZ263" s="8"/>
      <c r="HA263" s="8"/>
      <c r="HB263" s="8"/>
      <c r="HC263" s="8"/>
      <c r="HD263" s="8"/>
      <c r="HE263" s="8"/>
      <c r="HF263" s="8"/>
      <c r="HG263" s="8"/>
      <c r="HH263" s="8"/>
      <c r="HI263" s="8"/>
      <c r="HJ263" s="8"/>
      <c r="HK263" s="8"/>
      <c r="HL263" s="8"/>
      <c r="HM263" s="8"/>
      <c r="HN263" s="8"/>
      <c r="HO263" s="8"/>
      <c r="HP263" s="8"/>
      <c r="HQ263" s="8"/>
      <c r="HR263" s="8"/>
      <c r="HS263" s="8"/>
      <c r="HT263" s="8"/>
      <c r="HU263" s="8"/>
      <c r="HV263" s="8"/>
      <c r="HW263" s="8"/>
      <c r="HX263" s="8"/>
      <c r="HY263" s="8"/>
      <c r="HZ263" s="8"/>
      <c r="IA263" s="8"/>
      <c r="IB263" s="8"/>
      <c r="IC263" s="8"/>
      <c r="ID263" s="8"/>
      <c r="IE263" s="8"/>
      <c r="IF263" s="8"/>
      <c r="IG263" s="8"/>
      <c r="IH263" s="8"/>
      <c r="II263" s="8"/>
      <c r="IJ263" s="8"/>
      <c r="IK263" s="8"/>
      <c r="IL263" s="8"/>
      <c r="IM263" s="8"/>
    </row>
    <row r="264" spans="1:247" x14ac:dyDescent="0.25">
      <c r="A264" s="4">
        <v>8932</v>
      </c>
      <c r="B264" s="9" t="s">
        <v>3072</v>
      </c>
      <c r="C264" s="10" t="s">
        <v>7</v>
      </c>
      <c r="D264" s="1721" t="s">
        <v>3061</v>
      </c>
      <c r="E264" s="1728"/>
      <c r="F264" s="1723">
        <f>+$F$3</f>
        <v>1.0209999999999999</v>
      </c>
      <c r="G264" s="1729"/>
      <c r="H264" s="1728"/>
      <c r="I264" s="1730"/>
      <c r="J264" s="1730"/>
      <c r="K264" s="1730"/>
      <c r="L264" s="1730"/>
      <c r="M264" s="1730"/>
      <c r="N264" s="1729"/>
      <c r="O264" s="1731"/>
      <c r="P264" s="1728">
        <f>+$P$3</f>
        <v>1.032</v>
      </c>
      <c r="Q264" s="1729">
        <f>+$Q$3</f>
        <v>1.0349999999999999</v>
      </c>
      <c r="R264" s="1732">
        <f>PRODUCT(E264:Q264)</f>
        <v>1.0905505199999999</v>
      </c>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c r="CA264" s="8"/>
      <c r="CB264" s="8"/>
      <c r="CC264" s="8"/>
      <c r="CD264" s="8"/>
      <c r="CE264" s="8"/>
      <c r="CF264" s="8"/>
      <c r="CG264" s="8"/>
      <c r="CH264" s="8"/>
      <c r="CI264" s="8"/>
      <c r="CJ264" s="8"/>
      <c r="CK264" s="8"/>
      <c r="CL264" s="8"/>
      <c r="CM264" s="8"/>
      <c r="CN264" s="8"/>
      <c r="CO264" s="8"/>
      <c r="CP264" s="8"/>
      <c r="CQ264" s="8"/>
      <c r="CR264" s="8"/>
      <c r="CS264" s="8"/>
      <c r="CT264" s="8"/>
      <c r="CU264" s="8"/>
      <c r="CV264" s="8"/>
      <c r="CW264" s="8"/>
      <c r="CX264" s="8"/>
      <c r="CY264" s="8"/>
      <c r="CZ264" s="8"/>
      <c r="DA264" s="8"/>
      <c r="DB264" s="8"/>
      <c r="DC264" s="8"/>
      <c r="DD264" s="8"/>
      <c r="DE264" s="8"/>
      <c r="DF264" s="8"/>
      <c r="DG264" s="8"/>
      <c r="DH264" s="8"/>
      <c r="DI264" s="8"/>
      <c r="DJ264" s="8"/>
      <c r="DK264" s="8"/>
      <c r="DL264" s="8"/>
      <c r="DM264" s="8"/>
      <c r="DN264" s="8"/>
      <c r="DO264" s="8"/>
      <c r="DP264" s="8"/>
      <c r="DQ264" s="8"/>
      <c r="DR264" s="8"/>
      <c r="DS264" s="8"/>
      <c r="DT264" s="8"/>
      <c r="DU264" s="8"/>
      <c r="DV264" s="8"/>
      <c r="DW264" s="8"/>
      <c r="DX264" s="8"/>
      <c r="DY264" s="8"/>
      <c r="DZ264" s="8"/>
      <c r="EA264" s="8"/>
      <c r="EB264" s="8"/>
      <c r="EC264" s="8"/>
      <c r="ED264" s="8"/>
      <c r="EE264" s="8"/>
      <c r="EF264" s="8"/>
      <c r="EG264" s="8"/>
      <c r="EH264" s="8"/>
      <c r="EI264" s="8"/>
      <c r="EJ264" s="8"/>
      <c r="EK264" s="8"/>
      <c r="EL264" s="8"/>
      <c r="EM264" s="8"/>
      <c r="EN264" s="8"/>
      <c r="EO264" s="8"/>
      <c r="EP264" s="8"/>
      <c r="EQ264" s="8"/>
      <c r="ER264" s="8"/>
      <c r="ES264" s="8"/>
      <c r="ET264" s="8"/>
      <c r="EU264" s="8"/>
      <c r="EV264" s="8"/>
      <c r="EW264" s="8"/>
      <c r="EX264" s="8"/>
      <c r="EY264" s="8"/>
      <c r="EZ264" s="8"/>
      <c r="FA264" s="8"/>
      <c r="FB264" s="8"/>
      <c r="FC264" s="8"/>
      <c r="FD264" s="8"/>
      <c r="FE264" s="8"/>
      <c r="FF264" s="8"/>
      <c r="FG264" s="8"/>
      <c r="FH264" s="8"/>
      <c r="FI264" s="8"/>
      <c r="FJ264" s="8"/>
      <c r="FK264" s="8"/>
      <c r="FL264" s="8"/>
      <c r="FM264" s="8"/>
      <c r="FN264" s="8"/>
      <c r="FO264" s="8"/>
      <c r="FP264" s="8"/>
      <c r="FQ264" s="8"/>
      <c r="FR264" s="8"/>
      <c r="FS264" s="8"/>
      <c r="FT264" s="8"/>
      <c r="FU264" s="8"/>
      <c r="FV264" s="8"/>
      <c r="FW264" s="8"/>
      <c r="FX264" s="8"/>
      <c r="FY264" s="8"/>
      <c r="FZ264" s="8"/>
      <c r="GA264" s="8"/>
      <c r="GB264" s="8"/>
      <c r="GC264" s="8"/>
      <c r="GD264" s="8"/>
      <c r="GE264" s="8"/>
      <c r="GF264" s="8"/>
      <c r="GG264" s="8"/>
      <c r="GH264" s="8"/>
      <c r="GI264" s="8"/>
      <c r="GJ264" s="8"/>
      <c r="GK264" s="8"/>
      <c r="GL264" s="8"/>
      <c r="GM264" s="8"/>
      <c r="GN264" s="8"/>
      <c r="GO264" s="8"/>
      <c r="GP264" s="8"/>
      <c r="GQ264" s="8"/>
      <c r="GR264" s="8"/>
      <c r="GS264" s="8"/>
      <c r="GT264" s="8"/>
      <c r="GU264" s="8"/>
      <c r="GV264" s="8"/>
      <c r="GW264" s="8"/>
      <c r="GX264" s="8"/>
      <c r="GY264" s="8"/>
      <c r="GZ264" s="8"/>
      <c r="HA264" s="8"/>
      <c r="HB264" s="8"/>
      <c r="HC264" s="8"/>
      <c r="HD264" s="8"/>
      <c r="HE264" s="8"/>
      <c r="HF264" s="8"/>
      <c r="HG264" s="8"/>
      <c r="HH264" s="8"/>
      <c r="HI264" s="8"/>
      <c r="HJ264" s="8"/>
      <c r="HK264" s="8"/>
      <c r="HL264" s="8"/>
      <c r="HM264" s="8"/>
      <c r="HN264" s="8"/>
      <c r="HO264" s="8"/>
      <c r="HP264" s="8"/>
      <c r="HQ264" s="8"/>
      <c r="HR264" s="8"/>
      <c r="HS264" s="8"/>
      <c r="HT264" s="8"/>
      <c r="HU264" s="8"/>
      <c r="HV264" s="8"/>
      <c r="HW264" s="8"/>
      <c r="HX264" s="8"/>
      <c r="HY264" s="8"/>
      <c r="HZ264" s="8"/>
      <c r="IA264" s="8"/>
      <c r="IB264" s="8"/>
      <c r="IC264" s="8"/>
      <c r="ID264" s="8"/>
      <c r="IE264" s="8"/>
      <c r="IF264" s="8"/>
      <c r="IG264" s="8"/>
      <c r="IH264" s="8"/>
      <c r="II264" s="8"/>
      <c r="IJ264" s="8"/>
      <c r="IK264" s="8"/>
      <c r="IL264" s="8"/>
      <c r="IM264" s="8"/>
    </row>
    <row r="265" spans="1:247" x14ac:dyDescent="0.25">
      <c r="A265" s="4">
        <v>8951</v>
      </c>
      <c r="B265" s="9" t="s">
        <v>281</v>
      </c>
      <c r="C265" s="10" t="s">
        <v>6</v>
      </c>
      <c r="D265" s="1721" t="s">
        <v>3060</v>
      </c>
      <c r="E265" s="1728"/>
      <c r="F265" s="1723">
        <f>+$F$3</f>
        <v>1.0209999999999999</v>
      </c>
      <c r="G265" s="1729"/>
      <c r="H265" s="1728"/>
      <c r="I265" s="1730"/>
      <c r="J265" s="1730"/>
      <c r="K265" s="1730"/>
      <c r="L265" s="1730"/>
      <c r="M265" s="1730"/>
      <c r="N265" s="1729"/>
      <c r="O265" s="1731"/>
      <c r="P265" s="1728"/>
      <c r="Q265" s="1729"/>
      <c r="R265" s="1732">
        <f>PRODUCT(E265:Q265)</f>
        <v>1.0209999999999999</v>
      </c>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c r="CA265" s="8"/>
      <c r="CB265" s="8"/>
      <c r="CC265" s="8"/>
      <c r="CD265" s="8"/>
      <c r="CE265" s="8"/>
      <c r="CF265" s="8"/>
      <c r="CG265" s="8"/>
      <c r="CH265" s="8"/>
      <c r="CI265" s="8"/>
      <c r="CJ265" s="8"/>
      <c r="CK265" s="8"/>
      <c r="CL265" s="8"/>
      <c r="CM265" s="8"/>
      <c r="CN265" s="8"/>
      <c r="CO265" s="8"/>
      <c r="CP265" s="8"/>
      <c r="CQ265" s="8"/>
      <c r="CR265" s="8"/>
      <c r="CS265" s="8"/>
      <c r="CT265" s="8"/>
      <c r="CU265" s="8"/>
      <c r="CV265" s="8"/>
      <c r="CW265" s="8"/>
      <c r="CX265" s="8"/>
      <c r="CY265" s="8"/>
      <c r="CZ265" s="8"/>
      <c r="DA265" s="8"/>
      <c r="DB265" s="8"/>
      <c r="DC265" s="8"/>
      <c r="DD265" s="8"/>
      <c r="DE265" s="8"/>
      <c r="DF265" s="8"/>
      <c r="DG265" s="8"/>
      <c r="DH265" s="8"/>
      <c r="DI265" s="8"/>
      <c r="DJ265" s="8"/>
      <c r="DK265" s="8"/>
      <c r="DL265" s="8"/>
      <c r="DM265" s="8"/>
      <c r="DN265" s="8"/>
      <c r="DO265" s="8"/>
      <c r="DP265" s="8"/>
      <c r="DQ265" s="8"/>
      <c r="DR265" s="8"/>
      <c r="DS265" s="8"/>
      <c r="DT265" s="8"/>
      <c r="DU265" s="8"/>
      <c r="DV265" s="8"/>
      <c r="DW265" s="8"/>
      <c r="DX265" s="8"/>
      <c r="DY265" s="8"/>
      <c r="DZ265" s="8"/>
      <c r="EA265" s="8"/>
      <c r="EB265" s="8"/>
      <c r="EC265" s="8"/>
      <c r="ED265" s="8"/>
      <c r="EE265" s="8"/>
      <c r="EF265" s="8"/>
      <c r="EG265" s="8"/>
      <c r="EH265" s="8"/>
      <c r="EI265" s="8"/>
      <c r="EJ265" s="8"/>
      <c r="EK265" s="8"/>
      <c r="EL265" s="8"/>
      <c r="EM265" s="8"/>
      <c r="EN265" s="8"/>
      <c r="EO265" s="8"/>
      <c r="EP265" s="8"/>
      <c r="EQ265" s="8"/>
      <c r="ER265" s="8"/>
      <c r="ES265" s="8"/>
      <c r="ET265" s="8"/>
      <c r="EU265" s="8"/>
      <c r="EV265" s="8"/>
      <c r="EW265" s="8"/>
      <c r="EX265" s="8"/>
      <c r="EY265" s="8"/>
      <c r="EZ265" s="8"/>
      <c r="FA265" s="8"/>
      <c r="FB265" s="8"/>
      <c r="FC265" s="8"/>
      <c r="FD265" s="8"/>
      <c r="FE265" s="8"/>
      <c r="FF265" s="8"/>
      <c r="FG265" s="8"/>
      <c r="FH265" s="8"/>
      <c r="FI265" s="8"/>
      <c r="FJ265" s="8"/>
      <c r="FK265" s="8"/>
      <c r="FL265" s="8"/>
      <c r="FM265" s="8"/>
      <c r="FN265" s="8"/>
      <c r="FO265" s="8"/>
      <c r="FP265" s="8"/>
      <c r="FQ265" s="8"/>
      <c r="FR265" s="8"/>
      <c r="FS265" s="8"/>
      <c r="FT265" s="8"/>
      <c r="FU265" s="8"/>
      <c r="FV265" s="8"/>
      <c r="FW265" s="8"/>
      <c r="FX265" s="8"/>
      <c r="FY265" s="8"/>
      <c r="FZ265" s="8"/>
      <c r="GA265" s="8"/>
      <c r="GB265" s="8"/>
      <c r="GC265" s="8"/>
      <c r="GD265" s="8"/>
      <c r="GE265" s="8"/>
      <c r="GF265" s="8"/>
      <c r="GG265" s="8"/>
      <c r="GH265" s="8"/>
      <c r="GI265" s="8"/>
      <c r="GJ265" s="8"/>
      <c r="GK265" s="8"/>
      <c r="GL265" s="8"/>
      <c r="GM265" s="8"/>
      <c r="GN265" s="8"/>
      <c r="GO265" s="8"/>
      <c r="GP265" s="8"/>
      <c r="GQ265" s="8"/>
      <c r="GR265" s="8"/>
      <c r="GS265" s="8"/>
      <c r="GT265" s="8"/>
      <c r="GU265" s="8"/>
      <c r="GV265" s="8"/>
      <c r="GW265" s="8"/>
      <c r="GX265" s="8"/>
      <c r="GY265" s="8"/>
      <c r="GZ265" s="8"/>
      <c r="HA265" s="8"/>
      <c r="HB265" s="8"/>
      <c r="HC265" s="8"/>
      <c r="HD265" s="8"/>
      <c r="HE265" s="8"/>
      <c r="HF265" s="8"/>
      <c r="HG265" s="8"/>
      <c r="HH265" s="8"/>
      <c r="HI265" s="8"/>
      <c r="HJ265" s="8"/>
      <c r="HK265" s="8"/>
      <c r="HL265" s="8"/>
      <c r="HM265" s="8"/>
      <c r="HN265" s="8"/>
      <c r="HO265" s="8"/>
      <c r="HP265" s="8"/>
      <c r="HQ265" s="8"/>
      <c r="HR265" s="8"/>
      <c r="HS265" s="8"/>
      <c r="HT265" s="8"/>
      <c r="HU265" s="8"/>
      <c r="HV265" s="8"/>
      <c r="HW265" s="8"/>
      <c r="HX265" s="8"/>
      <c r="HY265" s="8"/>
      <c r="HZ265" s="8"/>
      <c r="IA265" s="8"/>
      <c r="IB265" s="8"/>
      <c r="IC265" s="8"/>
      <c r="ID265" s="8"/>
      <c r="IE265" s="8"/>
      <c r="IF265" s="8"/>
      <c r="IG265" s="8"/>
      <c r="IH265" s="8"/>
      <c r="II265" s="8"/>
      <c r="IJ265" s="8"/>
      <c r="IK265" s="8"/>
      <c r="IL265" s="8"/>
      <c r="IM265" s="8"/>
    </row>
    <row r="266" spans="1:247" x14ac:dyDescent="0.25">
      <c r="Q266" s="1734"/>
      <c r="R266" s="1734"/>
      <c r="S266" s="1734"/>
      <c r="AS266"/>
    </row>
    <row r="267" spans="1:247" x14ac:dyDescent="0.25">
      <c r="A267" t="s">
        <v>3073</v>
      </c>
      <c r="AS267" s="1736">
        <v>2251</v>
      </c>
    </row>
    <row r="268" spans="1:247" ht="33.75" customHeight="1" x14ac:dyDescent="0.25">
      <c r="A268" s="1737" t="s">
        <v>3074</v>
      </c>
      <c r="B268" s="1737"/>
      <c r="C268" s="1737"/>
      <c r="D268" s="1737"/>
      <c r="E268" s="1737"/>
      <c r="F268" s="1737"/>
      <c r="G268" s="1737"/>
      <c r="H268" s="1737"/>
      <c r="I268" s="1737"/>
      <c r="J268" s="1737"/>
      <c r="K268" s="1737"/>
      <c r="L268" s="1737"/>
      <c r="M268" s="1737"/>
      <c r="N268" s="1737"/>
      <c r="O268" s="1737"/>
      <c r="P268" s="1737"/>
      <c r="Q268" s="1737"/>
      <c r="R268" s="1738"/>
      <c r="S268" s="1734"/>
      <c r="AS268"/>
    </row>
    <row r="269" spans="1:247" ht="52.5" customHeight="1" x14ac:dyDescent="0.25">
      <c r="A269" s="1737" t="s">
        <v>3075</v>
      </c>
      <c r="B269" s="1737"/>
      <c r="C269" s="1737"/>
      <c r="D269" s="1737"/>
      <c r="E269" s="1737"/>
      <c r="F269" s="1737"/>
      <c r="G269" s="1737"/>
      <c r="H269" s="1737"/>
      <c r="I269" s="1737"/>
      <c r="J269" s="1737"/>
      <c r="K269" s="1737"/>
      <c r="L269" s="1737"/>
      <c r="M269" s="1737"/>
      <c r="N269" s="1737"/>
      <c r="O269" s="1737"/>
      <c r="P269" s="1737"/>
      <c r="Q269" s="1737"/>
      <c r="AS269" s="1736">
        <v>2261</v>
      </c>
    </row>
    <row r="270" spans="1:247" ht="16.5" customHeight="1" x14ac:dyDescent="0.25">
      <c r="A270" s="1737" t="s">
        <v>3076</v>
      </c>
      <c r="B270" s="1737"/>
      <c r="C270" s="1737"/>
      <c r="D270" s="1737"/>
      <c r="E270" s="1737"/>
      <c r="F270" s="1737"/>
      <c r="G270" s="1737"/>
      <c r="H270" s="1737"/>
      <c r="I270" s="1737"/>
      <c r="J270" s="1737"/>
      <c r="K270" s="1737"/>
      <c r="L270" s="1737"/>
      <c r="M270" s="1737"/>
      <c r="N270" s="1737"/>
      <c r="O270" s="1737"/>
      <c r="P270" s="1737"/>
      <c r="Q270" s="1737"/>
      <c r="AS270" s="1736">
        <v>2264</v>
      </c>
    </row>
    <row r="271" spans="1:247" ht="46.5" customHeight="1" x14ac:dyDescent="0.25">
      <c r="A271" s="1737" t="s">
        <v>3077</v>
      </c>
      <c r="B271" s="1737"/>
      <c r="C271" s="1737"/>
      <c r="D271" s="1737"/>
      <c r="E271" s="1737"/>
      <c r="F271" s="1737"/>
      <c r="G271" s="1737"/>
      <c r="H271" s="1737"/>
      <c r="I271" s="1737"/>
      <c r="J271" s="1737"/>
      <c r="K271" s="1737"/>
      <c r="L271" s="1737"/>
      <c r="M271" s="1737"/>
      <c r="N271" s="1737"/>
      <c r="O271" s="1737"/>
      <c r="P271" s="1737"/>
      <c r="Q271" s="1737"/>
      <c r="AS271" s="1736">
        <v>2265</v>
      </c>
    </row>
    <row r="272" spans="1:247" ht="18.75" customHeight="1" x14ac:dyDescent="0.25">
      <c r="A272" s="1739" t="s">
        <v>3078</v>
      </c>
      <c r="B272" s="1739"/>
      <c r="C272" s="1739"/>
      <c r="D272" s="1739"/>
      <c r="E272" s="1739"/>
      <c r="F272" s="1739"/>
      <c r="G272" s="1739"/>
      <c r="H272" s="1739"/>
      <c r="I272" s="1739"/>
      <c r="J272" s="1739"/>
      <c r="K272" s="1739"/>
      <c r="L272" s="1739"/>
      <c r="M272" s="1739"/>
      <c r="N272" s="1739"/>
      <c r="O272" s="1739"/>
      <c r="P272" s="1739"/>
      <c r="Q272" s="1739"/>
      <c r="AS272" s="1736">
        <v>2271</v>
      </c>
    </row>
    <row r="273" spans="1:45" ht="30.75" customHeight="1" x14ac:dyDescent="0.25">
      <c r="A273" s="1737" t="s">
        <v>3079</v>
      </c>
      <c r="B273" s="1737"/>
      <c r="C273" s="1737"/>
      <c r="D273" s="1737"/>
      <c r="E273" s="1737"/>
      <c r="F273" s="1737"/>
      <c r="G273" s="1737"/>
      <c r="H273" s="1737"/>
      <c r="I273" s="1737"/>
      <c r="J273" s="1737"/>
      <c r="K273" s="1737"/>
      <c r="L273" s="1737"/>
      <c r="M273" s="1737"/>
      <c r="N273" s="1737"/>
      <c r="O273" s="1737"/>
      <c r="P273" s="1737"/>
      <c r="Q273" s="1737"/>
      <c r="AS273" s="1736">
        <v>2281</v>
      </c>
    </row>
    <row r="274" spans="1:45" ht="30.75" customHeight="1" x14ac:dyDescent="0.25">
      <c r="A274" s="1737" t="s">
        <v>3080</v>
      </c>
      <c r="B274" s="1737"/>
      <c r="C274" s="1737"/>
      <c r="D274" s="1737"/>
      <c r="E274" s="1737"/>
      <c r="F274" s="1737"/>
      <c r="G274" s="1737"/>
      <c r="H274" s="1737"/>
      <c r="I274" s="1737"/>
      <c r="J274" s="1737"/>
      <c r="K274" s="1737"/>
      <c r="L274" s="1737"/>
      <c r="M274" s="1737"/>
      <c r="N274" s="1737"/>
      <c r="O274" s="1737"/>
      <c r="P274" s="1737"/>
      <c r="Q274" s="1737"/>
      <c r="AS274" s="1736">
        <v>2291</v>
      </c>
    </row>
    <row r="275" spans="1:45" ht="34.5" customHeight="1" x14ac:dyDescent="0.25">
      <c r="A275" s="1737" t="s">
        <v>3081</v>
      </c>
      <c r="B275" s="1737"/>
      <c r="C275" s="1737"/>
      <c r="D275" s="1737"/>
      <c r="E275" s="1737"/>
      <c r="F275" s="1737"/>
      <c r="G275" s="1737"/>
      <c r="H275" s="1737"/>
      <c r="I275" s="1737"/>
      <c r="J275" s="1737"/>
      <c r="K275" s="1737"/>
      <c r="L275" s="1737"/>
      <c r="M275" s="1737"/>
      <c r="N275" s="1737"/>
      <c r="O275" s="1737"/>
      <c r="P275" s="1737"/>
      <c r="Q275" s="1737"/>
      <c r="AS275" s="1736">
        <v>3101</v>
      </c>
    </row>
    <row r="276" spans="1:45" ht="63" customHeight="1" x14ac:dyDescent="0.25">
      <c r="A276" s="1737" t="s">
        <v>3082</v>
      </c>
      <c r="B276" s="1737"/>
      <c r="C276" s="1737"/>
      <c r="D276" s="1737"/>
      <c r="E276" s="1737"/>
      <c r="F276" s="1737"/>
      <c r="G276" s="1737"/>
      <c r="H276" s="1737"/>
      <c r="I276" s="1737"/>
      <c r="J276" s="1737"/>
      <c r="K276" s="1737"/>
      <c r="L276" s="1737"/>
      <c r="M276" s="1737"/>
      <c r="N276" s="1737"/>
      <c r="O276" s="1737"/>
      <c r="P276" s="1737"/>
      <c r="Q276" s="1737"/>
      <c r="AS276" s="1736">
        <v>3102</v>
      </c>
    </row>
    <row r="277" spans="1:45" ht="37.5" customHeight="1" x14ac:dyDescent="0.25">
      <c r="A277" s="1737" t="s">
        <v>3083</v>
      </c>
      <c r="B277" s="1737"/>
      <c r="C277" s="1737"/>
      <c r="D277" s="1737"/>
      <c r="E277" s="1737"/>
      <c r="F277" s="1737"/>
      <c r="G277" s="1737"/>
      <c r="H277" s="1737"/>
      <c r="I277" s="1737"/>
      <c r="J277" s="1737"/>
      <c r="K277" s="1737"/>
      <c r="L277" s="1737"/>
      <c r="M277" s="1737"/>
      <c r="N277" s="1737"/>
      <c r="O277" s="1737"/>
      <c r="P277" s="1737"/>
      <c r="Q277" s="1737"/>
      <c r="AS277" s="1736">
        <v>3103</v>
      </c>
    </row>
    <row r="278" spans="1:45" ht="34.5" customHeight="1" x14ac:dyDescent="0.25">
      <c r="A278" s="1737" t="s">
        <v>3084</v>
      </c>
      <c r="B278" s="1737"/>
      <c r="C278" s="1737"/>
      <c r="D278" s="1737"/>
      <c r="E278" s="1737"/>
      <c r="F278" s="1737"/>
      <c r="G278" s="1737"/>
      <c r="H278" s="1737"/>
      <c r="I278" s="1737"/>
      <c r="J278" s="1737"/>
      <c r="K278" s="1737"/>
      <c r="L278" s="1737"/>
      <c r="M278" s="1737"/>
      <c r="N278" s="1737"/>
      <c r="O278" s="1737"/>
      <c r="P278" s="1737"/>
      <c r="Q278" s="1737"/>
      <c r="AS278" s="1736">
        <v>3104</v>
      </c>
    </row>
    <row r="279" spans="1:45" ht="51.75" customHeight="1" x14ac:dyDescent="0.25">
      <c r="A279" s="1737" t="s">
        <v>3085</v>
      </c>
      <c r="B279" s="1737"/>
      <c r="C279" s="1737"/>
      <c r="D279" s="1737"/>
      <c r="E279" s="1737"/>
      <c r="F279" s="1737"/>
      <c r="G279" s="1737"/>
      <c r="H279" s="1737"/>
      <c r="I279" s="1737"/>
      <c r="J279" s="1737"/>
      <c r="K279" s="1737"/>
      <c r="L279" s="1737"/>
      <c r="M279" s="1737"/>
      <c r="N279" s="1737"/>
      <c r="O279" s="1737"/>
      <c r="P279" s="1737"/>
      <c r="Q279" s="1737"/>
      <c r="AS279" s="1736">
        <v>3111</v>
      </c>
    </row>
    <row r="280" spans="1:45" ht="18" customHeight="1" x14ac:dyDescent="0.25">
      <c r="A280" s="1737" t="s">
        <v>3086</v>
      </c>
      <c r="B280" s="1737"/>
      <c r="C280" s="1737"/>
      <c r="D280" s="1737"/>
      <c r="E280" s="1737"/>
      <c r="F280" s="1737"/>
      <c r="G280" s="1737"/>
      <c r="H280" s="1737"/>
      <c r="I280" s="1737"/>
      <c r="J280" s="1737"/>
      <c r="K280" s="1737"/>
      <c r="L280" s="1737"/>
      <c r="M280" s="1737"/>
      <c r="N280" s="1737"/>
      <c r="O280" s="1737"/>
      <c r="P280" s="1737"/>
      <c r="Q280" s="1737"/>
      <c r="AS280" s="1736">
        <v>3121</v>
      </c>
    </row>
    <row r="281" spans="1:45" ht="51" customHeight="1" x14ac:dyDescent="0.25">
      <c r="A281" s="1737" t="s">
        <v>3087</v>
      </c>
      <c r="B281" s="1737"/>
      <c r="C281" s="1737"/>
      <c r="D281" s="1737"/>
      <c r="E281" s="1737"/>
      <c r="F281" s="1737"/>
      <c r="G281" s="1737"/>
      <c r="H281" s="1737"/>
      <c r="I281" s="1737"/>
      <c r="J281" s="1737"/>
      <c r="K281" s="1737"/>
      <c r="L281" s="1737"/>
      <c r="M281" s="1737"/>
      <c r="N281" s="1737"/>
      <c r="O281" s="1737"/>
      <c r="P281" s="1737"/>
      <c r="Q281" s="1737"/>
      <c r="AS281" s="1736">
        <v>3131</v>
      </c>
    </row>
    <row r="282" spans="1:45" ht="50.25" customHeight="1" x14ac:dyDescent="0.25">
      <c r="A282" s="1737" t="s">
        <v>3088</v>
      </c>
      <c r="B282" s="1737"/>
      <c r="C282" s="1737"/>
      <c r="D282" s="1737"/>
      <c r="E282" s="1737"/>
      <c r="F282" s="1737"/>
      <c r="G282" s="1737"/>
      <c r="H282" s="1737"/>
      <c r="I282" s="1737"/>
      <c r="J282" s="1737"/>
      <c r="K282" s="1737"/>
      <c r="L282" s="1737"/>
      <c r="M282" s="1737"/>
      <c r="N282" s="1737"/>
      <c r="O282" s="1737"/>
      <c r="P282" s="1737"/>
      <c r="Q282" s="1737"/>
      <c r="AS282" s="1736">
        <v>3141</v>
      </c>
    </row>
    <row r="283" spans="1:45" ht="66.75" customHeight="1" x14ac:dyDescent="0.25">
      <c r="A283" s="1737" t="s">
        <v>3089</v>
      </c>
      <c r="B283" s="1737"/>
      <c r="C283" s="1737"/>
      <c r="D283" s="1737"/>
      <c r="E283" s="1737"/>
      <c r="F283" s="1737"/>
      <c r="G283" s="1737"/>
      <c r="H283" s="1737"/>
      <c r="I283" s="1737"/>
      <c r="J283" s="1737"/>
      <c r="K283" s="1737"/>
      <c r="L283" s="1737"/>
      <c r="M283" s="1737"/>
      <c r="N283" s="1737"/>
      <c r="O283" s="1737"/>
      <c r="P283" s="1737"/>
      <c r="Q283" s="1737"/>
      <c r="AS283" s="1736">
        <v>3151</v>
      </c>
    </row>
    <row r="284" spans="1:45" ht="70.5" customHeight="1" x14ac:dyDescent="0.25">
      <c r="A284" s="1737" t="s">
        <v>3090</v>
      </c>
      <c r="B284" s="1737"/>
      <c r="C284" s="1737"/>
      <c r="D284" s="1737"/>
      <c r="E284" s="1737"/>
      <c r="F284" s="1737"/>
      <c r="G284" s="1737"/>
      <c r="H284" s="1737"/>
      <c r="I284" s="1737"/>
      <c r="J284" s="1737"/>
      <c r="K284" s="1737"/>
      <c r="L284" s="1737"/>
      <c r="M284" s="1737"/>
      <c r="N284" s="1737"/>
      <c r="O284" s="1737"/>
      <c r="P284" s="1737"/>
      <c r="Q284" s="1737"/>
      <c r="AS284" s="1736">
        <v>3161</v>
      </c>
    </row>
    <row r="285" spans="1:45" ht="57" customHeight="1" x14ac:dyDescent="0.25">
      <c r="A285" s="1737" t="s">
        <v>3091</v>
      </c>
      <c r="B285" s="1737"/>
      <c r="C285" s="1737"/>
      <c r="D285" s="1737"/>
      <c r="E285" s="1737"/>
      <c r="F285" s="1737"/>
      <c r="G285" s="1737"/>
      <c r="H285" s="1737"/>
      <c r="I285" s="1737"/>
      <c r="J285" s="1737"/>
      <c r="K285" s="1737"/>
      <c r="L285" s="1737"/>
      <c r="M285" s="1737"/>
      <c r="N285" s="1737"/>
      <c r="O285" s="1737"/>
      <c r="P285" s="1737"/>
      <c r="Q285" s="1737"/>
      <c r="AS285" s="1736">
        <v>3171</v>
      </c>
    </row>
    <row r="286" spans="1:45" ht="46.5" customHeight="1" x14ac:dyDescent="0.25">
      <c r="A286" s="1737" t="s">
        <v>3092</v>
      </c>
      <c r="B286" s="1737"/>
      <c r="C286" s="1737"/>
      <c r="D286" s="1737"/>
      <c r="E286" s="1737"/>
      <c r="F286" s="1737"/>
      <c r="G286" s="1737"/>
      <c r="H286" s="1737"/>
      <c r="I286" s="1737"/>
      <c r="J286" s="1737"/>
      <c r="K286" s="1737"/>
      <c r="L286" s="1737"/>
      <c r="M286" s="1737"/>
      <c r="N286" s="1737"/>
      <c r="O286" s="1737"/>
      <c r="P286" s="1737"/>
      <c r="Q286" s="1737"/>
      <c r="AS286" s="1736">
        <v>3181</v>
      </c>
    </row>
    <row r="287" spans="1:45" ht="36" customHeight="1" x14ac:dyDescent="0.25">
      <c r="A287" s="1737" t="s">
        <v>3093</v>
      </c>
      <c r="B287" s="1737"/>
      <c r="C287" s="1737"/>
      <c r="D287" s="1737"/>
      <c r="E287" s="1737"/>
      <c r="F287" s="1737"/>
      <c r="G287" s="1737"/>
      <c r="H287" s="1737"/>
      <c r="I287" s="1737"/>
      <c r="J287" s="1737"/>
      <c r="K287" s="1737"/>
      <c r="L287" s="1737"/>
      <c r="M287" s="1737"/>
      <c r="N287" s="1737"/>
      <c r="O287" s="1737"/>
      <c r="P287" s="1737"/>
      <c r="Q287" s="1737"/>
      <c r="AS287" s="1736">
        <v>3191</v>
      </c>
    </row>
    <row r="288" spans="1:45" ht="36" customHeight="1" x14ac:dyDescent="0.25">
      <c r="A288" s="27"/>
      <c r="B288" s="27"/>
      <c r="C288" s="27"/>
      <c r="D288" s="27"/>
      <c r="E288" s="27"/>
      <c r="F288" s="27"/>
      <c r="G288" s="27"/>
      <c r="H288" s="27"/>
      <c r="I288" s="27"/>
      <c r="J288" s="27"/>
      <c r="K288" s="27"/>
      <c r="L288" s="27"/>
      <c r="M288" s="27"/>
      <c r="N288" s="27"/>
      <c r="O288" s="27"/>
      <c r="P288" s="27"/>
      <c r="Q288" s="1499"/>
      <c r="AS288" s="1736">
        <v>3201</v>
      </c>
    </row>
    <row r="289" spans="1:45" x14ac:dyDescent="0.25">
      <c r="A289" s="27"/>
      <c r="B289" s="27"/>
      <c r="C289" s="27"/>
      <c r="D289" s="27"/>
      <c r="E289" s="27"/>
      <c r="F289" s="27"/>
      <c r="G289" s="27"/>
      <c r="H289" s="27"/>
      <c r="I289" s="27"/>
      <c r="J289" s="27"/>
      <c r="K289" s="27"/>
      <c r="L289" s="27"/>
      <c r="M289" s="27"/>
      <c r="N289" s="27"/>
      <c r="O289" s="27"/>
      <c r="P289" s="27"/>
      <c r="Q289" s="1499"/>
      <c r="AS289" s="1736">
        <v>3211</v>
      </c>
    </row>
    <row r="290" spans="1:45" x14ac:dyDescent="0.25">
      <c r="A290" s="27"/>
      <c r="B290" s="27"/>
      <c r="C290" s="27"/>
      <c r="D290" s="27"/>
      <c r="E290" s="27"/>
      <c r="F290" s="27"/>
      <c r="G290" s="27"/>
      <c r="H290" s="27"/>
      <c r="I290" s="27"/>
      <c r="J290" s="27"/>
      <c r="K290" s="27"/>
      <c r="L290" s="27"/>
      <c r="M290" s="27"/>
      <c r="N290" s="27"/>
      <c r="O290" s="27"/>
      <c r="P290" s="27"/>
      <c r="Q290" s="1499"/>
      <c r="AS290" s="1736">
        <v>3711</v>
      </c>
    </row>
    <row r="291" spans="1:45" x14ac:dyDescent="0.25">
      <c r="A291" s="27"/>
      <c r="B291" s="27"/>
      <c r="C291" s="27"/>
      <c r="D291" s="27"/>
      <c r="E291" s="27"/>
      <c r="F291" s="27"/>
      <c r="G291" s="27"/>
      <c r="H291" s="27"/>
      <c r="I291" s="27"/>
      <c r="J291" s="27"/>
      <c r="K291" s="27"/>
      <c r="L291" s="27"/>
      <c r="M291" s="27"/>
      <c r="N291" s="27"/>
      <c r="O291" s="27"/>
      <c r="P291" s="27"/>
      <c r="Q291" s="1499"/>
      <c r="AS291" s="1736">
        <v>3712</v>
      </c>
    </row>
    <row r="292" spans="1:45" x14ac:dyDescent="0.25">
      <c r="A292" s="27"/>
      <c r="B292" s="27"/>
      <c r="C292" s="27"/>
      <c r="D292" s="27"/>
      <c r="E292" s="27"/>
      <c r="F292" s="27"/>
      <c r="G292" s="27"/>
      <c r="H292" s="27"/>
      <c r="I292" s="27"/>
      <c r="J292" s="27"/>
      <c r="K292" s="27"/>
      <c r="L292" s="27"/>
      <c r="M292" s="27"/>
      <c r="N292" s="27"/>
      <c r="O292" s="27"/>
      <c r="P292" s="27"/>
      <c r="Q292" s="1499"/>
      <c r="AS292" s="1736">
        <v>3713</v>
      </c>
    </row>
    <row r="293" spans="1:45" x14ac:dyDescent="0.25">
      <c r="A293" s="27"/>
      <c r="B293" s="27"/>
      <c r="C293" s="27"/>
      <c r="D293" s="27"/>
      <c r="E293" s="27"/>
      <c r="F293" s="27"/>
      <c r="G293" s="27"/>
      <c r="H293" s="27"/>
      <c r="I293" s="27"/>
      <c r="J293" s="27"/>
      <c r="K293" s="27"/>
      <c r="L293" s="27"/>
      <c r="M293" s="27"/>
      <c r="N293" s="27"/>
      <c r="O293" s="27"/>
      <c r="P293" s="27"/>
      <c r="Q293" s="1499"/>
      <c r="AS293" s="1736">
        <v>3901</v>
      </c>
    </row>
    <row r="294" spans="1:45" x14ac:dyDescent="0.25">
      <c r="A294" s="27"/>
      <c r="B294" s="27"/>
      <c r="C294" s="27"/>
      <c r="D294" s="27"/>
      <c r="E294" s="27"/>
      <c r="F294" s="27"/>
      <c r="G294" s="27"/>
      <c r="H294" s="27"/>
      <c r="I294" s="27"/>
      <c r="J294" s="27"/>
      <c r="K294" s="27"/>
      <c r="L294" s="27"/>
      <c r="M294" s="27"/>
      <c r="N294" s="27"/>
      <c r="O294" s="27"/>
      <c r="P294" s="27"/>
      <c r="Q294" s="1499"/>
      <c r="AS294" s="1736">
        <v>3902</v>
      </c>
    </row>
    <row r="295" spans="1:45" x14ac:dyDescent="0.25">
      <c r="A295" s="27"/>
      <c r="B295" s="27"/>
      <c r="C295" s="27"/>
      <c r="D295" s="27"/>
      <c r="E295" s="27"/>
      <c r="F295" s="27"/>
      <c r="G295" s="27"/>
      <c r="H295" s="27"/>
      <c r="I295" s="27"/>
      <c r="J295" s="27"/>
      <c r="K295" s="27"/>
      <c r="L295" s="27"/>
      <c r="M295" s="27"/>
      <c r="N295" s="27"/>
      <c r="O295" s="27"/>
      <c r="P295" s="27"/>
      <c r="Q295" s="1499"/>
      <c r="AS295" s="1736">
        <v>3903</v>
      </c>
    </row>
    <row r="296" spans="1:45" x14ac:dyDescent="0.25">
      <c r="A296" s="27"/>
      <c r="B296" s="27"/>
      <c r="C296" s="27"/>
      <c r="D296" s="27"/>
      <c r="E296" s="27"/>
      <c r="F296" s="27"/>
      <c r="G296" s="27"/>
      <c r="H296" s="27"/>
      <c r="I296" s="27"/>
      <c r="J296" s="27"/>
      <c r="K296" s="27"/>
      <c r="L296" s="27"/>
      <c r="M296" s="27"/>
      <c r="N296" s="27"/>
      <c r="O296" s="27"/>
      <c r="P296" s="27"/>
      <c r="Q296" s="1499"/>
      <c r="AS296" s="1736">
        <v>3904</v>
      </c>
    </row>
    <row r="297" spans="1:45" x14ac:dyDescent="0.25">
      <c r="A297" s="27"/>
      <c r="B297" s="27"/>
      <c r="C297" s="27"/>
      <c r="D297" s="27"/>
      <c r="E297" s="27"/>
      <c r="F297" s="27"/>
      <c r="G297" s="27"/>
      <c r="H297" s="27"/>
      <c r="I297" s="27"/>
      <c r="J297" s="27"/>
      <c r="K297" s="27"/>
      <c r="L297" s="27"/>
      <c r="M297" s="27"/>
      <c r="N297" s="27"/>
      <c r="O297" s="27"/>
      <c r="P297" s="27"/>
      <c r="Q297" s="1499"/>
      <c r="AS297" s="1736">
        <v>4111</v>
      </c>
    </row>
    <row r="298" spans="1:45" x14ac:dyDescent="0.25">
      <c r="A298" s="27"/>
      <c r="B298" s="27"/>
      <c r="C298" s="27"/>
      <c r="D298" s="27"/>
      <c r="E298" s="27"/>
      <c r="F298" s="27"/>
      <c r="G298" s="27"/>
      <c r="H298" s="27"/>
      <c r="I298" s="27"/>
      <c r="J298" s="27"/>
      <c r="K298" s="27"/>
      <c r="L298" s="27"/>
      <c r="M298" s="27"/>
      <c r="N298" s="27"/>
      <c r="O298" s="27"/>
      <c r="P298" s="27"/>
      <c r="Q298" s="1499"/>
      <c r="AS298" s="1736">
        <v>4112</v>
      </c>
    </row>
    <row r="299" spans="1:45" x14ac:dyDescent="0.25">
      <c r="A299" s="27"/>
      <c r="B299" s="27"/>
      <c r="C299" s="27"/>
      <c r="D299" s="27"/>
      <c r="E299" s="27"/>
      <c r="F299" s="27"/>
      <c r="G299" s="27"/>
      <c r="H299" s="27"/>
      <c r="I299" s="27"/>
      <c r="J299" s="27"/>
      <c r="K299" s="27"/>
      <c r="L299" s="27"/>
      <c r="M299" s="27"/>
      <c r="N299" s="27"/>
      <c r="O299" s="27"/>
      <c r="P299" s="27"/>
      <c r="Q299" s="1499"/>
      <c r="AS299" s="1736">
        <v>4113</v>
      </c>
    </row>
    <row r="300" spans="1:45" x14ac:dyDescent="0.25">
      <c r="A300" s="27"/>
      <c r="B300" s="27"/>
      <c r="C300" s="27"/>
      <c r="D300" s="27"/>
      <c r="E300" s="27"/>
      <c r="F300" s="27"/>
      <c r="G300" s="27"/>
      <c r="H300" s="27"/>
      <c r="I300" s="27"/>
      <c r="J300" s="27"/>
      <c r="K300" s="27"/>
      <c r="L300" s="27"/>
      <c r="M300" s="27"/>
      <c r="N300" s="27"/>
      <c r="O300" s="27"/>
      <c r="P300" s="27"/>
      <c r="Q300" s="1499"/>
      <c r="AS300" s="1736">
        <v>4114</v>
      </c>
    </row>
    <row r="301" spans="1:45" x14ac:dyDescent="0.25">
      <c r="A301" s="27"/>
      <c r="B301" s="27"/>
      <c r="C301" s="27"/>
      <c r="D301" s="27"/>
      <c r="E301" s="27"/>
      <c r="F301" s="27"/>
      <c r="G301" s="27"/>
      <c r="H301" s="27"/>
      <c r="I301" s="27"/>
      <c r="J301" s="27"/>
      <c r="K301" s="27"/>
      <c r="L301" s="27"/>
      <c r="M301" s="27"/>
      <c r="N301" s="27"/>
      <c r="O301" s="27"/>
      <c r="P301" s="27"/>
      <c r="Q301" s="1499"/>
      <c r="AS301" s="1736">
        <v>4121</v>
      </c>
    </row>
    <row r="302" spans="1:45" x14ac:dyDescent="0.25">
      <c r="A302" s="27"/>
      <c r="B302" s="27"/>
      <c r="C302" s="27"/>
      <c r="D302" s="27"/>
      <c r="E302" s="27"/>
      <c r="F302" s="27"/>
      <c r="G302" s="27"/>
      <c r="H302" s="27"/>
      <c r="I302" s="27"/>
      <c r="J302" s="27"/>
      <c r="K302" s="27"/>
      <c r="L302" s="27"/>
      <c r="M302" s="27"/>
      <c r="N302" s="27"/>
      <c r="O302" s="27"/>
      <c r="P302" s="27"/>
      <c r="Q302" s="1499"/>
      <c r="AS302" s="1736">
        <v>4122</v>
      </c>
    </row>
    <row r="303" spans="1:45" x14ac:dyDescent="0.25">
      <c r="A303" s="27"/>
      <c r="B303" s="27"/>
      <c r="C303" s="27"/>
      <c r="D303" s="27"/>
      <c r="E303" s="27"/>
      <c r="F303" s="27"/>
      <c r="G303" s="27"/>
      <c r="H303" s="27"/>
      <c r="I303" s="27"/>
      <c r="J303" s="27"/>
      <c r="K303" s="27"/>
      <c r="L303" s="27"/>
      <c r="M303" s="27"/>
      <c r="N303" s="27"/>
      <c r="O303" s="27"/>
      <c r="P303" s="27"/>
      <c r="Q303" s="1499"/>
      <c r="AS303" s="1736">
        <v>4211</v>
      </c>
    </row>
    <row r="304" spans="1:45" x14ac:dyDescent="0.25">
      <c r="A304" s="27"/>
      <c r="B304" s="27"/>
      <c r="C304" s="27"/>
      <c r="D304" s="27"/>
      <c r="E304" s="27"/>
      <c r="F304" s="27"/>
      <c r="G304" s="27"/>
      <c r="H304" s="27"/>
      <c r="I304" s="27"/>
      <c r="J304" s="27"/>
      <c r="K304" s="27"/>
      <c r="L304" s="27"/>
      <c r="M304" s="27"/>
      <c r="N304" s="27"/>
      <c r="O304" s="27"/>
      <c r="P304" s="27"/>
      <c r="Q304" s="1499"/>
      <c r="AS304" s="1736">
        <v>4212</v>
      </c>
    </row>
    <row r="305" spans="1:45" x14ac:dyDescent="0.25">
      <c r="A305" s="27"/>
      <c r="B305" s="27"/>
      <c r="C305" s="27"/>
      <c r="D305" s="27"/>
      <c r="E305" s="27"/>
      <c r="F305" s="27"/>
      <c r="G305" s="27"/>
      <c r="H305" s="27"/>
      <c r="I305" s="27"/>
      <c r="J305" s="27"/>
      <c r="K305" s="27"/>
      <c r="L305" s="27"/>
      <c r="M305" s="27"/>
      <c r="N305" s="27"/>
      <c r="O305" s="27"/>
      <c r="P305" s="27"/>
      <c r="Q305" s="1499"/>
      <c r="AS305" s="1736">
        <v>4221</v>
      </c>
    </row>
    <row r="306" spans="1:45" x14ac:dyDescent="0.25">
      <c r="A306" s="27"/>
      <c r="B306" s="27"/>
      <c r="C306" s="27"/>
      <c r="D306" s="27"/>
      <c r="E306" s="27"/>
      <c r="F306" s="27"/>
      <c r="G306" s="27"/>
      <c r="H306" s="27"/>
      <c r="I306" s="27"/>
      <c r="J306" s="27"/>
      <c r="K306" s="27"/>
      <c r="L306" s="27"/>
      <c r="M306" s="27"/>
      <c r="N306" s="27"/>
      <c r="O306" s="27"/>
      <c r="P306" s="27"/>
      <c r="Q306" s="1499"/>
      <c r="AS306" s="1736">
        <v>4222</v>
      </c>
    </row>
    <row r="307" spans="1:45" x14ac:dyDescent="0.25">
      <c r="A307" s="27"/>
      <c r="B307" s="27"/>
      <c r="C307" s="27"/>
      <c r="D307" s="27"/>
      <c r="E307" s="27"/>
      <c r="F307" s="27"/>
      <c r="G307" s="27"/>
      <c r="H307" s="27"/>
      <c r="I307" s="27"/>
      <c r="J307" s="27"/>
      <c r="K307" s="27"/>
      <c r="L307" s="27"/>
      <c r="M307" s="27"/>
      <c r="N307" s="27"/>
      <c r="O307" s="27"/>
      <c r="P307" s="27"/>
      <c r="Q307" s="1499"/>
      <c r="AS307" s="1736">
        <v>4231</v>
      </c>
    </row>
    <row r="308" spans="1:45" x14ac:dyDescent="0.25">
      <c r="A308" s="27"/>
      <c r="B308" s="27"/>
      <c r="C308" s="27"/>
      <c r="D308" s="27"/>
      <c r="E308" s="27"/>
      <c r="F308" s="27"/>
      <c r="G308" s="27"/>
      <c r="H308" s="27"/>
      <c r="I308" s="27"/>
      <c r="J308" s="27"/>
      <c r="K308" s="27"/>
      <c r="L308" s="27"/>
      <c r="M308" s="27"/>
      <c r="N308" s="27"/>
      <c r="O308" s="27"/>
      <c r="P308" s="27"/>
      <c r="Q308" s="1499"/>
      <c r="AS308" s="1736">
        <v>4241</v>
      </c>
    </row>
    <row r="309" spans="1:45" x14ac:dyDescent="0.25">
      <c r="A309" s="27"/>
      <c r="B309" s="27"/>
      <c r="C309" s="27"/>
      <c r="D309" s="27"/>
      <c r="E309" s="27"/>
      <c r="F309" s="27"/>
      <c r="G309" s="27"/>
      <c r="H309" s="27"/>
      <c r="I309" s="27"/>
      <c r="J309" s="27"/>
      <c r="K309" s="27"/>
      <c r="L309" s="27"/>
      <c r="M309" s="27"/>
      <c r="N309" s="27"/>
      <c r="O309" s="27"/>
      <c r="P309" s="27"/>
      <c r="Q309" s="1499"/>
      <c r="AS309" s="1736">
        <v>4251</v>
      </c>
    </row>
    <row r="310" spans="1:45" x14ac:dyDescent="0.25">
      <c r="A310" s="27"/>
      <c r="B310" s="27"/>
      <c r="C310" s="27"/>
      <c r="D310" s="27"/>
      <c r="E310" s="27"/>
      <c r="F310" s="27"/>
      <c r="G310" s="27"/>
      <c r="H310" s="27"/>
      <c r="I310" s="27"/>
      <c r="J310" s="27"/>
      <c r="K310" s="27"/>
      <c r="L310" s="27"/>
      <c r="M310" s="27"/>
      <c r="N310" s="27"/>
      <c r="O310" s="27"/>
      <c r="P310" s="27"/>
      <c r="Q310" s="1499"/>
      <c r="AS310" s="1736">
        <v>4311</v>
      </c>
    </row>
    <row r="311" spans="1:45" x14ac:dyDescent="0.25">
      <c r="A311" s="27"/>
      <c r="B311" s="27"/>
      <c r="C311" s="27"/>
      <c r="D311" s="27"/>
      <c r="E311" s="27"/>
      <c r="F311" s="27"/>
      <c r="G311" s="27"/>
      <c r="H311" s="27"/>
      <c r="I311" s="27"/>
      <c r="J311" s="27"/>
      <c r="K311" s="27"/>
      <c r="L311" s="27"/>
      <c r="M311" s="27"/>
      <c r="N311" s="27"/>
      <c r="O311" s="27"/>
      <c r="P311" s="27"/>
      <c r="Q311" s="1499"/>
      <c r="AS311" s="1736">
        <v>4321</v>
      </c>
    </row>
    <row r="312" spans="1:45" x14ac:dyDescent="0.25">
      <c r="A312" s="27"/>
      <c r="B312" s="27"/>
      <c r="C312" s="27"/>
      <c r="D312" s="27"/>
      <c r="E312" s="27"/>
      <c r="F312" s="27"/>
      <c r="G312" s="27"/>
      <c r="H312" s="27"/>
      <c r="I312" s="27"/>
      <c r="J312" s="27"/>
      <c r="K312" s="27"/>
      <c r="L312" s="27"/>
      <c r="M312" s="27"/>
      <c r="N312" s="27"/>
      <c r="O312" s="27"/>
      <c r="P312" s="27"/>
      <c r="Q312" s="1499"/>
      <c r="AS312" s="1736">
        <v>4411</v>
      </c>
    </row>
    <row r="313" spans="1:45" x14ac:dyDescent="0.25">
      <c r="A313" s="27"/>
      <c r="B313" s="27"/>
      <c r="C313" s="27"/>
      <c r="D313" s="27"/>
      <c r="E313" s="27"/>
      <c r="F313" s="27"/>
      <c r="G313" s="27"/>
      <c r="H313" s="27"/>
      <c r="I313" s="27"/>
      <c r="J313" s="27"/>
      <c r="K313" s="27"/>
      <c r="L313" s="27"/>
      <c r="M313" s="27"/>
      <c r="N313" s="27"/>
      <c r="O313" s="27"/>
      <c r="P313" s="27"/>
      <c r="Q313" s="1499"/>
      <c r="AS313" s="1736">
        <v>4412</v>
      </c>
    </row>
    <row r="314" spans="1:45" x14ac:dyDescent="0.25">
      <c r="A314" s="27"/>
      <c r="B314" s="27"/>
      <c r="C314" s="27"/>
      <c r="D314" s="27"/>
      <c r="E314" s="27"/>
      <c r="F314" s="27"/>
      <c r="G314" s="27"/>
      <c r="H314" s="27"/>
      <c r="I314" s="27"/>
      <c r="J314" s="27"/>
      <c r="K314" s="27"/>
      <c r="L314" s="27"/>
      <c r="M314" s="27"/>
      <c r="N314" s="27"/>
      <c r="O314" s="27"/>
      <c r="P314" s="27"/>
      <c r="Q314" s="1499"/>
      <c r="AS314" s="1736">
        <v>4413</v>
      </c>
    </row>
    <row r="315" spans="1:45" x14ac:dyDescent="0.25">
      <c r="A315" s="27"/>
      <c r="B315" s="27"/>
      <c r="C315" s="27"/>
      <c r="D315" s="27"/>
      <c r="E315" s="27"/>
      <c r="F315" s="27"/>
      <c r="G315" s="27"/>
      <c r="H315" s="27"/>
      <c r="I315" s="27"/>
      <c r="J315" s="27"/>
      <c r="K315" s="27"/>
      <c r="L315" s="27"/>
      <c r="M315" s="27"/>
      <c r="N315" s="27"/>
      <c r="O315" s="27"/>
      <c r="P315" s="27"/>
      <c r="Q315" s="1499"/>
      <c r="AS315" s="1736">
        <v>4414</v>
      </c>
    </row>
    <row r="316" spans="1:45" x14ac:dyDescent="0.25">
      <c r="A316" s="27"/>
      <c r="B316" s="27"/>
      <c r="C316" s="27"/>
      <c r="D316" s="27"/>
      <c r="E316" s="27"/>
      <c r="F316" s="27"/>
      <c r="G316" s="27"/>
      <c r="H316" s="27"/>
      <c r="I316" s="27"/>
      <c r="J316" s="27"/>
      <c r="K316" s="27"/>
      <c r="L316" s="27"/>
      <c r="M316" s="27"/>
      <c r="N316" s="27"/>
      <c r="O316" s="27"/>
      <c r="P316" s="27"/>
      <c r="Q316" s="1499"/>
      <c r="AS316" s="1736">
        <v>4421</v>
      </c>
    </row>
    <row r="317" spans="1:45" x14ac:dyDescent="0.25">
      <c r="A317" s="27"/>
      <c r="B317" s="27"/>
      <c r="C317" s="27"/>
      <c r="D317" s="27"/>
      <c r="E317" s="27"/>
      <c r="F317" s="27"/>
      <c r="G317" s="27"/>
      <c r="H317" s="27"/>
      <c r="I317" s="27"/>
      <c r="J317" s="27"/>
      <c r="K317" s="27"/>
      <c r="L317" s="27"/>
      <c r="M317" s="27"/>
      <c r="N317" s="27"/>
      <c r="O317" s="27"/>
      <c r="P317" s="27"/>
      <c r="Q317" s="1499"/>
      <c r="AS317" s="1736">
        <v>4422</v>
      </c>
    </row>
    <row r="318" spans="1:45" x14ac:dyDescent="0.25">
      <c r="A318" s="27"/>
      <c r="B318" s="27"/>
      <c r="C318" s="27"/>
      <c r="D318" s="27"/>
      <c r="E318" s="27"/>
      <c r="F318" s="27"/>
      <c r="G318" s="27"/>
      <c r="H318" s="27"/>
      <c r="I318" s="27"/>
      <c r="J318" s="27"/>
      <c r="K318" s="27"/>
      <c r="L318" s="27"/>
      <c r="M318" s="27"/>
      <c r="N318" s="27"/>
      <c r="O318" s="27"/>
      <c r="P318" s="27"/>
      <c r="Q318" s="1499"/>
      <c r="AS318" s="1736">
        <v>4423</v>
      </c>
    </row>
    <row r="319" spans="1:45" x14ac:dyDescent="0.25">
      <c r="A319" s="27"/>
      <c r="B319" s="27"/>
      <c r="C319" s="27"/>
      <c r="D319" s="27"/>
      <c r="E319" s="27"/>
      <c r="F319" s="27"/>
      <c r="G319" s="27"/>
      <c r="H319" s="27"/>
      <c r="I319" s="27"/>
      <c r="J319" s="27"/>
      <c r="K319" s="27"/>
      <c r="L319" s="27"/>
      <c r="M319" s="27"/>
      <c r="N319" s="27"/>
      <c r="O319" s="27"/>
      <c r="P319" s="27"/>
      <c r="Q319" s="1499"/>
      <c r="AS319" s="1736">
        <v>4424</v>
      </c>
    </row>
    <row r="320" spans="1:45" x14ac:dyDescent="0.25">
      <c r="A320" s="27"/>
      <c r="B320" s="27"/>
      <c r="C320" s="27"/>
      <c r="D320" s="27"/>
      <c r="E320" s="27"/>
      <c r="F320" s="27"/>
      <c r="G320" s="27"/>
      <c r="H320" s="27"/>
      <c r="I320" s="27"/>
      <c r="J320" s="27"/>
      <c r="K320" s="27"/>
      <c r="L320" s="27"/>
      <c r="M320" s="27"/>
      <c r="N320" s="27"/>
      <c r="O320" s="27"/>
      <c r="P320" s="27"/>
      <c r="Q320" s="1499"/>
      <c r="AS320" s="1736">
        <v>4425</v>
      </c>
    </row>
    <row r="321" spans="1:45" x14ac:dyDescent="0.25">
      <c r="A321" s="27"/>
      <c r="B321" s="27"/>
      <c r="C321" s="27"/>
      <c r="D321" s="27"/>
      <c r="E321" s="27"/>
      <c r="F321" s="27"/>
      <c r="G321" s="27"/>
      <c r="H321" s="27"/>
      <c r="I321" s="27"/>
      <c r="J321" s="27"/>
      <c r="K321" s="27"/>
      <c r="L321" s="27"/>
      <c r="M321" s="27"/>
      <c r="N321" s="27"/>
      <c r="O321" s="27"/>
      <c r="P321" s="27"/>
      <c r="Q321" s="1499"/>
      <c r="AS321" s="1736">
        <v>4426</v>
      </c>
    </row>
    <row r="322" spans="1:45" x14ac:dyDescent="0.25">
      <c r="A322" s="27"/>
      <c r="B322" s="27"/>
      <c r="C322" s="27"/>
      <c r="D322" s="27"/>
      <c r="E322" s="27"/>
      <c r="F322" s="27"/>
      <c r="G322" s="27"/>
      <c r="H322" s="27"/>
      <c r="I322" s="27"/>
      <c r="J322" s="27"/>
      <c r="K322" s="27"/>
      <c r="L322" s="27"/>
      <c r="M322" s="27"/>
      <c r="N322" s="27"/>
      <c r="O322" s="27"/>
      <c r="P322" s="27"/>
      <c r="Q322" s="1499"/>
      <c r="AS322" s="1736">
        <v>4427</v>
      </c>
    </row>
    <row r="323" spans="1:45" x14ac:dyDescent="0.25">
      <c r="A323" s="27"/>
      <c r="B323" s="27"/>
      <c r="C323" s="27"/>
      <c r="D323" s="27"/>
      <c r="E323" s="27"/>
      <c r="F323" s="27"/>
      <c r="G323" s="27"/>
      <c r="H323" s="27"/>
      <c r="I323" s="27"/>
      <c r="J323" s="27"/>
      <c r="K323" s="27"/>
      <c r="L323" s="27"/>
      <c r="M323" s="27"/>
      <c r="N323" s="27"/>
      <c r="O323" s="27"/>
      <c r="P323" s="27"/>
      <c r="Q323" s="1499"/>
      <c r="AS323" s="1736">
        <v>4428</v>
      </c>
    </row>
    <row r="324" spans="1:45" x14ac:dyDescent="0.25">
      <c r="A324" s="27"/>
      <c r="B324" s="27"/>
      <c r="C324" s="27"/>
      <c r="D324" s="27"/>
      <c r="E324" s="27"/>
      <c r="F324" s="27"/>
      <c r="G324" s="27"/>
      <c r="H324" s="27"/>
      <c r="I324" s="27"/>
      <c r="J324" s="27"/>
      <c r="K324" s="27"/>
      <c r="L324" s="27"/>
      <c r="M324" s="27"/>
      <c r="N324" s="27"/>
      <c r="O324" s="27"/>
      <c r="P324" s="27"/>
      <c r="Q324" s="1499"/>
      <c r="AS324" s="1736">
        <v>4511</v>
      </c>
    </row>
    <row r="325" spans="1:45" x14ac:dyDescent="0.25">
      <c r="A325" s="27"/>
      <c r="B325" s="27"/>
      <c r="C325" s="27"/>
      <c r="D325" s="27"/>
      <c r="E325" s="27"/>
      <c r="F325" s="27"/>
      <c r="G325" s="27"/>
      <c r="H325" s="27"/>
      <c r="I325" s="27"/>
      <c r="J325" s="27"/>
      <c r="K325" s="27"/>
      <c r="L325" s="27"/>
      <c r="M325" s="27"/>
      <c r="N325" s="27"/>
      <c r="O325" s="27"/>
      <c r="P325" s="27"/>
      <c r="Q325" s="1499"/>
      <c r="AS325" s="1736">
        <v>4521</v>
      </c>
    </row>
    <row r="326" spans="1:45" x14ac:dyDescent="0.25">
      <c r="A326" s="27"/>
      <c r="B326" s="27"/>
      <c r="C326" s="27"/>
      <c r="D326" s="27"/>
      <c r="E326" s="27"/>
      <c r="F326" s="27"/>
      <c r="G326" s="27"/>
      <c r="H326" s="27"/>
      <c r="I326" s="27"/>
      <c r="J326" s="27"/>
      <c r="K326" s="27"/>
      <c r="L326" s="27"/>
      <c r="M326" s="27"/>
      <c r="N326" s="27"/>
      <c r="O326" s="27"/>
      <c r="P326" s="27"/>
      <c r="Q326" s="1499"/>
      <c r="AS326" s="1736">
        <v>5100</v>
      </c>
    </row>
    <row r="327" spans="1:45" x14ac:dyDescent="0.25">
      <c r="A327" s="27"/>
      <c r="B327" s="27"/>
      <c r="C327" s="27"/>
      <c r="D327" s="27"/>
      <c r="E327" s="27"/>
      <c r="F327" s="27"/>
      <c r="G327" s="27"/>
      <c r="H327" s="27"/>
      <c r="I327" s="27"/>
      <c r="J327" s="27"/>
      <c r="K327" s="27"/>
      <c r="L327" s="27"/>
      <c r="M327" s="27"/>
      <c r="N327" s="27"/>
      <c r="O327" s="27"/>
      <c r="P327" s="27"/>
      <c r="Q327" s="1499"/>
      <c r="AS327" s="1736">
        <v>5302</v>
      </c>
    </row>
    <row r="328" spans="1:45" x14ac:dyDescent="0.25">
      <c r="A328" s="27"/>
      <c r="B328" s="27"/>
      <c r="C328" s="27"/>
      <c r="D328" s="27"/>
      <c r="E328" s="27"/>
      <c r="F328" s="27"/>
      <c r="G328" s="27"/>
      <c r="H328" s="27"/>
      <c r="I328" s="27"/>
      <c r="J328" s="27"/>
      <c r="K328" s="27"/>
      <c r="L328" s="27"/>
      <c r="M328" s="27"/>
      <c r="N328" s="27"/>
      <c r="O328" s="27"/>
      <c r="P328" s="27"/>
      <c r="Q328" s="1499"/>
      <c r="AS328" s="1736">
        <v>5303</v>
      </c>
    </row>
    <row r="329" spans="1:45" x14ac:dyDescent="0.25">
      <c r="A329" s="27"/>
      <c r="B329" s="27"/>
      <c r="C329" s="27"/>
      <c r="D329" s="27"/>
      <c r="E329" s="27"/>
      <c r="F329" s="27"/>
      <c r="G329" s="27"/>
      <c r="H329" s="27"/>
      <c r="I329" s="27"/>
      <c r="J329" s="27"/>
      <c r="K329" s="27"/>
      <c r="L329" s="27"/>
      <c r="M329" s="27"/>
      <c r="N329" s="27"/>
      <c r="O329" s="27"/>
      <c r="P329" s="27"/>
      <c r="Q329" s="1499"/>
      <c r="AS329" s="1736">
        <v>5304</v>
      </c>
    </row>
    <row r="330" spans="1:45" x14ac:dyDescent="0.25">
      <c r="A330" s="27"/>
      <c r="B330" s="27"/>
      <c r="C330" s="27"/>
      <c r="D330" s="27"/>
      <c r="E330" s="27"/>
      <c r="F330" s="27"/>
      <c r="G330" s="27"/>
      <c r="H330" s="27"/>
      <c r="I330" s="27"/>
      <c r="J330" s="27"/>
      <c r="K330" s="27"/>
      <c r="L330" s="27"/>
      <c r="M330" s="27"/>
      <c r="N330" s="27"/>
      <c r="O330" s="27"/>
      <c r="P330" s="27"/>
      <c r="Q330" s="1499"/>
      <c r="AS330" s="1736">
        <v>5306</v>
      </c>
    </row>
    <row r="331" spans="1:45" x14ac:dyDescent="0.25">
      <c r="A331" s="27"/>
      <c r="B331" s="27"/>
      <c r="C331" s="27"/>
      <c r="D331" s="27"/>
      <c r="E331" s="27"/>
      <c r="F331" s="27"/>
      <c r="G331" s="27"/>
      <c r="H331" s="27"/>
      <c r="I331" s="27"/>
      <c r="J331" s="27"/>
      <c r="K331" s="27"/>
      <c r="L331" s="27"/>
      <c r="M331" s="27"/>
      <c r="N331" s="27"/>
      <c r="O331" s="27"/>
      <c r="P331" s="27"/>
      <c r="Q331" s="1499"/>
      <c r="AS331" s="1736">
        <v>5307</v>
      </c>
    </row>
    <row r="332" spans="1:45" x14ac:dyDescent="0.25">
      <c r="A332" s="27"/>
      <c r="B332" s="27"/>
      <c r="C332" s="27"/>
      <c r="D332" s="27"/>
      <c r="E332" s="27"/>
      <c r="F332" s="27"/>
      <c r="G332" s="27"/>
      <c r="H332" s="27"/>
      <c r="I332" s="27"/>
      <c r="J332" s="27"/>
      <c r="K332" s="27"/>
      <c r="L332" s="27"/>
      <c r="M332" s="27"/>
      <c r="N332" s="27"/>
      <c r="O332" s="27"/>
      <c r="P332" s="27"/>
      <c r="Q332" s="1499"/>
      <c r="AS332" s="1736">
        <v>5400</v>
      </c>
    </row>
    <row r="333" spans="1:45" x14ac:dyDescent="0.25">
      <c r="A333" s="27"/>
      <c r="B333" s="27"/>
      <c r="C333" s="27"/>
      <c r="D333" s="27"/>
      <c r="E333" s="27"/>
      <c r="F333" s="27"/>
      <c r="G333" s="27"/>
      <c r="H333" s="27"/>
      <c r="I333" s="27"/>
      <c r="J333" s="27"/>
      <c r="K333" s="27"/>
      <c r="L333" s="27"/>
      <c r="M333" s="27"/>
      <c r="N333" s="27"/>
      <c r="O333" s="27"/>
      <c r="P333" s="27"/>
      <c r="Q333" s="1499"/>
      <c r="AS333" s="1736">
        <v>5500</v>
      </c>
    </row>
    <row r="334" spans="1:45" x14ac:dyDescent="0.25">
      <c r="A334" s="27"/>
      <c r="B334" s="27"/>
      <c r="C334" s="27"/>
      <c r="D334" s="27"/>
      <c r="E334" s="27"/>
      <c r="F334" s="27"/>
      <c r="G334" s="27"/>
      <c r="H334" s="27"/>
      <c r="I334" s="27"/>
      <c r="J334" s="27"/>
      <c r="K334" s="27"/>
      <c r="L334" s="27"/>
      <c r="M334" s="27"/>
      <c r="N334" s="27"/>
      <c r="O334" s="27"/>
      <c r="P334" s="27"/>
      <c r="Q334" s="1499"/>
      <c r="AS334" s="1736">
        <v>5501</v>
      </c>
    </row>
    <row r="335" spans="1:45" x14ac:dyDescent="0.25">
      <c r="A335" s="27"/>
      <c r="B335" s="27"/>
      <c r="C335" s="27"/>
      <c r="D335" s="27"/>
      <c r="E335" s="27"/>
      <c r="F335" s="27"/>
      <c r="G335" s="27"/>
      <c r="H335" s="27"/>
      <c r="I335" s="27"/>
      <c r="J335" s="27"/>
      <c r="K335" s="27"/>
      <c r="L335" s="27"/>
      <c r="M335" s="27"/>
      <c r="N335" s="27"/>
      <c r="O335" s="27"/>
      <c r="P335" s="27"/>
      <c r="Q335" s="1499"/>
      <c r="AS335" s="1736">
        <v>6100</v>
      </c>
    </row>
    <row r="336" spans="1:45" x14ac:dyDescent="0.25">
      <c r="A336" s="27"/>
      <c r="B336" s="27"/>
      <c r="C336" s="27"/>
      <c r="D336" s="27"/>
      <c r="E336" s="27"/>
      <c r="F336" s="27"/>
      <c r="G336" s="27"/>
      <c r="H336" s="27"/>
      <c r="I336" s="27"/>
      <c r="J336" s="27"/>
      <c r="K336" s="27"/>
      <c r="L336" s="27"/>
      <c r="M336" s="27"/>
      <c r="N336" s="27"/>
      <c r="O336" s="27"/>
      <c r="P336" s="27"/>
      <c r="Q336" s="1499"/>
      <c r="AS336" s="1736">
        <v>6101</v>
      </c>
    </row>
    <row r="337" spans="1:45" x14ac:dyDescent="0.25">
      <c r="A337" s="27"/>
      <c r="B337" s="27"/>
      <c r="C337" s="27"/>
      <c r="D337" s="27"/>
      <c r="E337" s="27"/>
      <c r="F337" s="27"/>
      <c r="G337" s="27"/>
      <c r="H337" s="27"/>
      <c r="I337" s="27"/>
      <c r="J337" s="27"/>
      <c r="K337" s="27"/>
      <c r="L337" s="27"/>
      <c r="M337" s="27"/>
      <c r="N337" s="27"/>
      <c r="O337" s="27"/>
      <c r="P337" s="27"/>
      <c r="Q337" s="1499"/>
      <c r="AS337" s="1736">
        <v>6102</v>
      </c>
    </row>
    <row r="338" spans="1:45" x14ac:dyDescent="0.25">
      <c r="A338" s="27"/>
      <c r="B338" s="27"/>
      <c r="C338" s="27"/>
      <c r="D338" s="27"/>
      <c r="E338" s="27"/>
      <c r="F338" s="27"/>
      <c r="G338" s="27"/>
      <c r="H338" s="27"/>
      <c r="I338" s="27"/>
      <c r="J338" s="27"/>
      <c r="K338" s="27"/>
      <c r="L338" s="27"/>
      <c r="M338" s="27"/>
      <c r="N338" s="27"/>
      <c r="O338" s="27"/>
      <c r="P338" s="27"/>
      <c r="Q338" s="1499"/>
      <c r="AS338" s="1736">
        <v>6103</v>
      </c>
    </row>
    <row r="339" spans="1:45" x14ac:dyDescent="0.25">
      <c r="A339" s="27"/>
      <c r="B339" s="27"/>
      <c r="C339" s="27"/>
      <c r="D339" s="27"/>
      <c r="E339" s="27"/>
      <c r="F339" s="27"/>
      <c r="G339" s="27"/>
      <c r="H339" s="27"/>
      <c r="I339" s="27"/>
      <c r="J339" s="27"/>
      <c r="K339" s="27"/>
      <c r="L339" s="27"/>
      <c r="M339" s="27"/>
      <c r="N339" s="27"/>
      <c r="O339" s="27"/>
      <c r="P339" s="27"/>
      <c r="Q339" s="1499"/>
      <c r="AS339" s="1736">
        <v>6104</v>
      </c>
    </row>
    <row r="340" spans="1:45" x14ac:dyDescent="0.25">
      <c r="A340" s="27"/>
      <c r="B340" s="27"/>
      <c r="C340" s="27"/>
      <c r="D340" s="27"/>
      <c r="E340" s="27"/>
      <c r="F340" s="27"/>
      <c r="G340" s="27"/>
      <c r="H340" s="27"/>
      <c r="I340" s="27"/>
      <c r="J340" s="27"/>
      <c r="K340" s="27"/>
      <c r="L340" s="27"/>
      <c r="M340" s="27"/>
      <c r="N340" s="27"/>
      <c r="O340" s="27"/>
      <c r="P340" s="27"/>
      <c r="Q340" s="1499"/>
      <c r="AS340" s="1736">
        <v>6105</v>
      </c>
    </row>
    <row r="341" spans="1:45" x14ac:dyDescent="0.25">
      <c r="A341" s="27"/>
      <c r="B341" s="27"/>
      <c r="C341" s="27"/>
      <c r="D341" s="27"/>
      <c r="E341" s="27"/>
      <c r="F341" s="27"/>
      <c r="G341" s="27"/>
      <c r="H341" s="27"/>
      <c r="I341" s="27"/>
      <c r="J341" s="27"/>
      <c r="K341" s="27"/>
      <c r="L341" s="27"/>
      <c r="M341" s="27"/>
      <c r="N341" s="27"/>
      <c r="O341" s="27"/>
      <c r="P341" s="27"/>
      <c r="Q341" s="1499"/>
      <c r="AS341" s="1736">
        <v>6106</v>
      </c>
    </row>
    <row r="342" spans="1:45" x14ac:dyDescent="0.25">
      <c r="A342" s="27"/>
      <c r="B342" s="27"/>
      <c r="C342" s="27"/>
      <c r="D342" s="27"/>
      <c r="E342" s="27"/>
      <c r="F342" s="27"/>
      <c r="G342" s="27"/>
      <c r="H342" s="27"/>
      <c r="I342" s="27"/>
      <c r="J342" s="27"/>
      <c r="K342" s="27"/>
      <c r="L342" s="27"/>
      <c r="M342" s="27"/>
      <c r="N342" s="27"/>
      <c r="O342" s="27"/>
      <c r="P342" s="27"/>
      <c r="Q342" s="1499"/>
      <c r="AS342" s="1736">
        <v>6200</v>
      </c>
    </row>
    <row r="343" spans="1:45" x14ac:dyDescent="0.25">
      <c r="A343" s="27"/>
      <c r="B343" s="27"/>
      <c r="C343" s="27"/>
      <c r="D343" s="27"/>
      <c r="E343" s="27"/>
      <c r="F343" s="27"/>
      <c r="G343" s="27"/>
      <c r="H343" s="27"/>
      <c r="I343" s="27"/>
      <c r="J343" s="27"/>
      <c r="K343" s="27"/>
      <c r="L343" s="27"/>
      <c r="M343" s="27"/>
      <c r="N343" s="27"/>
      <c r="O343" s="27"/>
      <c r="P343" s="27"/>
      <c r="Q343" s="1499"/>
      <c r="AS343" s="1736">
        <v>6201</v>
      </c>
    </row>
    <row r="344" spans="1:45" x14ac:dyDescent="0.25">
      <c r="A344" s="27"/>
      <c r="B344" s="27"/>
      <c r="C344" s="27"/>
      <c r="D344" s="27"/>
      <c r="E344" s="27"/>
      <c r="F344" s="27"/>
      <c r="G344" s="27"/>
      <c r="H344" s="27"/>
      <c r="I344" s="27"/>
      <c r="J344" s="27"/>
      <c r="K344" s="27"/>
      <c r="L344" s="27"/>
      <c r="M344" s="27"/>
      <c r="N344" s="27"/>
      <c r="O344" s="27"/>
      <c r="P344" s="27"/>
      <c r="Q344" s="1499"/>
      <c r="AS344" s="1736">
        <v>6900</v>
      </c>
    </row>
    <row r="345" spans="1:45" x14ac:dyDescent="0.25">
      <c r="A345" s="27"/>
      <c r="B345" s="27"/>
      <c r="C345" s="27"/>
      <c r="D345" s="27"/>
      <c r="E345" s="27"/>
      <c r="F345" s="27"/>
      <c r="G345" s="27"/>
      <c r="H345" s="27"/>
      <c r="I345" s="27"/>
      <c r="J345" s="27"/>
      <c r="K345" s="27"/>
      <c r="L345" s="27"/>
      <c r="M345" s="27"/>
      <c r="N345" s="27"/>
      <c r="O345" s="27"/>
      <c r="P345" s="27"/>
      <c r="Q345" s="1499"/>
      <c r="AS345" s="1736">
        <v>7110</v>
      </c>
    </row>
    <row r="346" spans="1:45" x14ac:dyDescent="0.25">
      <c r="A346" s="27"/>
      <c r="B346" s="27"/>
      <c r="C346" s="27"/>
      <c r="D346" s="27"/>
      <c r="E346" s="27"/>
      <c r="F346" s="27"/>
      <c r="G346" s="27"/>
      <c r="H346" s="27"/>
      <c r="I346" s="27"/>
      <c r="J346" s="27"/>
      <c r="K346" s="27"/>
      <c r="L346" s="27"/>
      <c r="M346" s="27"/>
      <c r="N346" s="27"/>
      <c r="O346" s="27"/>
      <c r="P346" s="27"/>
      <c r="Q346" s="1499"/>
      <c r="AS346" s="1736">
        <v>7120</v>
      </c>
    </row>
    <row r="347" spans="1:45" x14ac:dyDescent="0.25">
      <c r="A347" s="27"/>
      <c r="B347" s="27"/>
      <c r="C347" s="27"/>
      <c r="D347" s="27"/>
      <c r="E347" s="27"/>
      <c r="F347" s="27"/>
      <c r="G347" s="27"/>
      <c r="H347" s="27"/>
      <c r="I347" s="27"/>
      <c r="J347" s="27"/>
      <c r="K347" s="27"/>
      <c r="L347" s="27"/>
      <c r="M347" s="27"/>
      <c r="N347" s="27"/>
      <c r="O347" s="27"/>
      <c r="P347" s="27"/>
      <c r="Q347" s="1499"/>
      <c r="AS347" s="1736">
        <v>7130</v>
      </c>
    </row>
    <row r="348" spans="1:45" x14ac:dyDescent="0.25">
      <c r="A348" s="27"/>
      <c r="B348" s="27"/>
      <c r="C348" s="27"/>
      <c r="D348" s="27"/>
      <c r="E348" s="27"/>
      <c r="F348" s="27"/>
      <c r="G348" s="27"/>
      <c r="H348" s="27"/>
      <c r="I348" s="27"/>
      <c r="J348" s="27"/>
      <c r="K348" s="27"/>
      <c r="L348" s="27"/>
      <c r="M348" s="27"/>
      <c r="N348" s="27"/>
      <c r="O348" s="27"/>
      <c r="P348" s="27"/>
      <c r="Q348" s="1499"/>
      <c r="AS348" s="1736">
        <v>7141</v>
      </c>
    </row>
    <row r="349" spans="1:45" x14ac:dyDescent="0.25">
      <c r="A349" s="27"/>
      <c r="B349" s="27"/>
      <c r="C349" s="27"/>
      <c r="D349" s="27"/>
      <c r="E349" s="27"/>
      <c r="F349" s="27"/>
      <c r="G349" s="27"/>
      <c r="H349" s="27"/>
      <c r="I349" s="27"/>
      <c r="J349" s="27"/>
      <c r="K349" s="27"/>
      <c r="L349" s="27"/>
      <c r="M349" s="27"/>
      <c r="N349" s="27"/>
      <c r="O349" s="27"/>
      <c r="P349" s="27"/>
      <c r="Q349" s="1499"/>
      <c r="AS349" s="1736">
        <v>7142</v>
      </c>
    </row>
    <row r="350" spans="1:45" x14ac:dyDescent="0.25">
      <c r="A350" s="27"/>
      <c r="B350" s="27"/>
      <c r="C350" s="27"/>
      <c r="D350" s="27"/>
      <c r="E350" s="27"/>
      <c r="F350" s="27"/>
      <c r="G350" s="27"/>
      <c r="H350" s="27"/>
      <c r="I350" s="27"/>
      <c r="J350" s="27"/>
      <c r="K350" s="27"/>
      <c r="L350" s="27"/>
      <c r="M350" s="27"/>
      <c r="N350" s="27"/>
      <c r="O350" s="27"/>
      <c r="P350" s="27"/>
      <c r="Q350" s="1499"/>
      <c r="AS350" s="1736">
        <v>7143</v>
      </c>
    </row>
    <row r="351" spans="1:45" x14ac:dyDescent="0.25">
      <c r="A351" s="27"/>
      <c r="B351" s="27"/>
      <c r="C351" s="27"/>
      <c r="D351" s="27"/>
      <c r="E351" s="27"/>
      <c r="F351" s="27"/>
      <c r="G351" s="27"/>
      <c r="H351" s="27"/>
      <c r="I351" s="27"/>
      <c r="J351" s="27"/>
      <c r="K351" s="27"/>
      <c r="L351" s="27"/>
      <c r="M351" s="27"/>
      <c r="N351" s="27"/>
      <c r="O351" s="27"/>
      <c r="P351" s="27"/>
      <c r="Q351" s="1499"/>
      <c r="AS351" s="1736">
        <v>7145</v>
      </c>
    </row>
    <row r="352" spans="1:45" x14ac:dyDescent="0.25">
      <c r="A352" s="27"/>
      <c r="B352" s="27"/>
      <c r="C352" s="27"/>
      <c r="D352" s="27"/>
      <c r="E352" s="27"/>
      <c r="F352" s="27"/>
      <c r="G352" s="27"/>
      <c r="H352" s="27"/>
      <c r="I352" s="27"/>
      <c r="J352" s="27"/>
      <c r="K352" s="27"/>
      <c r="L352" s="27"/>
      <c r="M352" s="27"/>
      <c r="N352" s="27"/>
      <c r="O352" s="27"/>
      <c r="P352" s="27"/>
      <c r="Q352" s="1499"/>
      <c r="AS352" s="1736">
        <v>7147</v>
      </c>
    </row>
    <row r="353" spans="1:45" x14ac:dyDescent="0.25">
      <c r="A353" s="27"/>
      <c r="B353" s="27"/>
      <c r="C353" s="27"/>
      <c r="D353" s="27"/>
      <c r="E353" s="27"/>
      <c r="F353" s="27"/>
      <c r="G353" s="27"/>
      <c r="H353" s="27"/>
      <c r="I353" s="27"/>
      <c r="J353" s="27"/>
      <c r="K353" s="27"/>
      <c r="L353" s="27"/>
      <c r="M353" s="27"/>
      <c r="N353" s="27"/>
      <c r="O353" s="27"/>
      <c r="P353" s="27"/>
      <c r="Q353" s="1499"/>
      <c r="AS353" s="1736">
        <v>7210</v>
      </c>
    </row>
    <row r="354" spans="1:45" x14ac:dyDescent="0.25">
      <c r="A354" s="27"/>
      <c r="B354" s="27"/>
      <c r="C354" s="27"/>
      <c r="D354" s="27"/>
      <c r="E354" s="27"/>
      <c r="F354" s="27"/>
      <c r="G354" s="27"/>
      <c r="H354" s="27"/>
      <c r="I354" s="27"/>
      <c r="J354" s="27"/>
      <c r="K354" s="27"/>
      <c r="L354" s="27"/>
      <c r="M354" s="27"/>
      <c r="N354" s="27"/>
      <c r="O354" s="27"/>
      <c r="P354" s="27"/>
      <c r="Q354" s="1499"/>
      <c r="AS354" s="1736">
        <v>7212</v>
      </c>
    </row>
    <row r="355" spans="1:45" x14ac:dyDescent="0.25">
      <c r="A355" s="27"/>
      <c r="B355" s="27"/>
      <c r="C355" s="27"/>
      <c r="D355" s="27"/>
      <c r="E355" s="27"/>
      <c r="F355" s="27"/>
      <c r="G355" s="27"/>
      <c r="H355" s="27"/>
      <c r="I355" s="27"/>
      <c r="J355" s="27"/>
      <c r="K355" s="27"/>
      <c r="L355" s="27"/>
      <c r="M355" s="27"/>
      <c r="N355" s="27"/>
      <c r="O355" s="27"/>
      <c r="P355" s="27"/>
      <c r="Q355" s="1499"/>
      <c r="AS355" s="1736">
        <v>7213</v>
      </c>
    </row>
    <row r="356" spans="1:45" x14ac:dyDescent="0.25">
      <c r="A356" s="27"/>
      <c r="B356" s="27"/>
      <c r="C356" s="27"/>
      <c r="D356" s="27"/>
      <c r="E356" s="27"/>
      <c r="F356" s="27"/>
      <c r="G356" s="27"/>
      <c r="H356" s="27"/>
      <c r="I356" s="27"/>
      <c r="J356" s="27"/>
      <c r="K356" s="27"/>
      <c r="L356" s="27"/>
      <c r="M356" s="27"/>
      <c r="N356" s="27"/>
      <c r="O356" s="27"/>
      <c r="P356" s="27"/>
      <c r="Q356" s="1499"/>
      <c r="AS356" s="1736">
        <v>7214</v>
      </c>
    </row>
    <row r="357" spans="1:45" x14ac:dyDescent="0.25">
      <c r="A357" s="27"/>
      <c r="B357" s="27"/>
      <c r="C357" s="27"/>
      <c r="D357" s="27"/>
      <c r="E357" s="27"/>
      <c r="F357" s="27"/>
      <c r="G357" s="27"/>
      <c r="H357" s="27"/>
      <c r="I357" s="27"/>
      <c r="J357" s="27"/>
      <c r="K357" s="27"/>
      <c r="L357" s="27"/>
      <c r="M357" s="27"/>
      <c r="N357" s="27"/>
      <c r="O357" s="27"/>
      <c r="P357" s="27"/>
      <c r="Q357" s="1499"/>
      <c r="AS357" s="1736">
        <v>7215</v>
      </c>
    </row>
    <row r="358" spans="1:45" x14ac:dyDescent="0.25">
      <c r="A358" s="27"/>
      <c r="B358" s="27"/>
      <c r="C358" s="27"/>
      <c r="D358" s="27"/>
      <c r="E358" s="27"/>
      <c r="F358" s="27"/>
      <c r="G358" s="27"/>
      <c r="H358" s="27"/>
      <c r="I358" s="27"/>
      <c r="J358" s="27"/>
      <c r="K358" s="27"/>
      <c r="L358" s="27"/>
      <c r="M358" s="27"/>
      <c r="N358" s="27"/>
      <c r="O358" s="27"/>
      <c r="P358" s="27"/>
      <c r="Q358" s="1499"/>
      <c r="AS358" s="1736">
        <v>7218</v>
      </c>
    </row>
    <row r="359" spans="1:45" x14ac:dyDescent="0.25">
      <c r="A359" s="27"/>
      <c r="B359" s="27"/>
      <c r="C359" s="27"/>
      <c r="D359" s="27"/>
      <c r="E359" s="27"/>
      <c r="F359" s="27"/>
      <c r="G359" s="27"/>
      <c r="H359" s="27"/>
      <c r="I359" s="27"/>
      <c r="J359" s="27"/>
      <c r="K359" s="27"/>
      <c r="L359" s="27"/>
      <c r="M359" s="27"/>
      <c r="N359" s="27"/>
      <c r="O359" s="27"/>
      <c r="P359" s="27"/>
      <c r="Q359" s="1499"/>
      <c r="AS359" s="1736">
        <v>7220</v>
      </c>
    </row>
    <row r="360" spans="1:45" x14ac:dyDescent="0.25">
      <c r="A360" s="27"/>
      <c r="B360" s="27"/>
      <c r="C360" s="27"/>
      <c r="D360" s="27"/>
      <c r="E360" s="27"/>
      <c r="F360" s="27"/>
      <c r="G360" s="27"/>
      <c r="H360" s="27"/>
      <c r="I360" s="27"/>
      <c r="J360" s="27"/>
      <c r="K360" s="27"/>
      <c r="L360" s="27"/>
      <c r="M360" s="27"/>
      <c r="N360" s="27"/>
      <c r="O360" s="27"/>
      <c r="P360" s="27"/>
      <c r="Q360" s="1499"/>
      <c r="AS360" s="1736">
        <v>7231</v>
      </c>
    </row>
    <row r="361" spans="1:45" x14ac:dyDescent="0.25">
      <c r="A361" s="27"/>
      <c r="B361" s="27"/>
      <c r="C361" s="27"/>
      <c r="D361" s="27"/>
      <c r="E361" s="27"/>
      <c r="F361" s="27"/>
      <c r="G361" s="27"/>
      <c r="H361" s="27"/>
      <c r="I361" s="27"/>
      <c r="J361" s="27"/>
      <c r="K361" s="27"/>
      <c r="L361" s="27"/>
      <c r="M361" s="27"/>
      <c r="N361" s="27"/>
      <c r="O361" s="27"/>
      <c r="P361" s="27"/>
      <c r="Q361" s="1499"/>
      <c r="AS361" s="1736">
        <v>7232</v>
      </c>
    </row>
    <row r="362" spans="1:45" x14ac:dyDescent="0.25">
      <c r="A362" s="27"/>
      <c r="B362" s="27"/>
      <c r="C362" s="27"/>
      <c r="D362" s="27"/>
      <c r="E362" s="27"/>
      <c r="F362" s="27"/>
      <c r="G362" s="27"/>
      <c r="H362" s="27"/>
      <c r="I362" s="27"/>
      <c r="J362" s="27"/>
      <c r="K362" s="27"/>
      <c r="L362" s="27"/>
      <c r="M362" s="27"/>
      <c r="N362" s="27"/>
      <c r="O362" s="27"/>
      <c r="P362" s="27"/>
      <c r="Q362" s="1499"/>
      <c r="AS362" s="1736">
        <v>7233</v>
      </c>
    </row>
    <row r="363" spans="1:45" x14ac:dyDescent="0.25">
      <c r="A363" s="27"/>
      <c r="B363" s="27"/>
      <c r="C363" s="27"/>
      <c r="D363" s="27"/>
      <c r="E363" s="27"/>
      <c r="F363" s="27"/>
      <c r="G363" s="27"/>
      <c r="H363" s="27"/>
      <c r="I363" s="27"/>
      <c r="J363" s="27"/>
      <c r="K363" s="27"/>
      <c r="L363" s="27"/>
      <c r="M363" s="27"/>
      <c r="N363" s="27"/>
      <c r="O363" s="27"/>
      <c r="P363" s="27"/>
      <c r="Q363" s="1499"/>
      <c r="AS363" s="1736">
        <v>7234</v>
      </c>
    </row>
    <row r="364" spans="1:45" x14ac:dyDescent="0.25">
      <c r="A364" s="27"/>
      <c r="B364" s="27"/>
      <c r="C364" s="27"/>
      <c r="D364" s="27"/>
      <c r="E364" s="27"/>
      <c r="F364" s="27"/>
      <c r="G364" s="27"/>
      <c r="H364" s="27"/>
      <c r="I364" s="27"/>
      <c r="J364" s="27"/>
      <c r="K364" s="27"/>
      <c r="L364" s="27"/>
      <c r="M364" s="27"/>
      <c r="N364" s="27"/>
      <c r="O364" s="27"/>
      <c r="P364" s="27"/>
      <c r="Q364" s="1499"/>
      <c r="AS364" s="1736">
        <v>7235</v>
      </c>
    </row>
    <row r="365" spans="1:45" x14ac:dyDescent="0.25">
      <c r="A365" s="27"/>
      <c r="B365" s="27"/>
      <c r="C365" s="27"/>
      <c r="D365" s="27"/>
      <c r="E365" s="27"/>
      <c r="F365" s="27"/>
      <c r="G365" s="27"/>
      <c r="H365" s="27"/>
      <c r="I365" s="27"/>
      <c r="J365" s="27"/>
      <c r="K365" s="27"/>
      <c r="L365" s="27"/>
      <c r="M365" s="27"/>
      <c r="N365" s="27"/>
      <c r="O365" s="27"/>
      <c r="P365" s="27"/>
      <c r="Q365" s="1499"/>
      <c r="AS365" s="1736">
        <v>7236</v>
      </c>
    </row>
    <row r="366" spans="1:45" x14ac:dyDescent="0.25">
      <c r="A366" s="27"/>
      <c r="B366" s="27"/>
      <c r="C366" s="27"/>
      <c r="D366" s="27"/>
      <c r="E366" s="27"/>
      <c r="F366" s="27"/>
      <c r="G366" s="27"/>
      <c r="H366" s="27"/>
      <c r="I366" s="27"/>
      <c r="J366" s="27"/>
      <c r="K366" s="27"/>
      <c r="L366" s="27"/>
      <c r="M366" s="27"/>
      <c r="N366" s="27"/>
      <c r="O366" s="27"/>
      <c r="P366" s="27"/>
      <c r="Q366" s="1499"/>
      <c r="AS366" s="1736">
        <v>7240</v>
      </c>
    </row>
    <row r="367" spans="1:45" x14ac:dyDescent="0.25">
      <c r="A367" s="27"/>
      <c r="B367" s="27"/>
      <c r="C367" s="27"/>
      <c r="D367" s="27"/>
      <c r="E367" s="27"/>
      <c r="F367" s="27"/>
      <c r="G367" s="27"/>
      <c r="H367" s="27"/>
      <c r="I367" s="27"/>
      <c r="J367" s="27"/>
      <c r="K367" s="27"/>
      <c r="L367" s="27"/>
      <c r="M367" s="27"/>
      <c r="N367" s="27"/>
      <c r="O367" s="27"/>
      <c r="P367" s="27"/>
      <c r="Q367" s="1499"/>
      <c r="AS367" s="1736">
        <v>7241</v>
      </c>
    </row>
    <row r="368" spans="1:45" x14ac:dyDescent="0.25">
      <c r="A368" s="27"/>
      <c r="B368" s="27"/>
      <c r="C368" s="27"/>
      <c r="D368" s="27"/>
      <c r="E368" s="27"/>
      <c r="F368" s="27"/>
      <c r="G368" s="27"/>
      <c r="H368" s="27"/>
      <c r="I368" s="27"/>
      <c r="J368" s="27"/>
      <c r="K368" s="27"/>
      <c r="L368" s="27"/>
      <c r="M368" s="27"/>
      <c r="N368" s="27"/>
      <c r="O368" s="27"/>
      <c r="P368" s="27"/>
      <c r="Q368" s="1499"/>
      <c r="AS368" s="1736">
        <v>7242</v>
      </c>
    </row>
    <row r="369" spans="1:45" x14ac:dyDescent="0.25">
      <c r="A369" s="27"/>
      <c r="B369" s="27"/>
      <c r="C369" s="27"/>
      <c r="D369" s="27"/>
      <c r="E369" s="27"/>
      <c r="F369" s="27"/>
      <c r="G369" s="27"/>
      <c r="H369" s="27"/>
      <c r="I369" s="27"/>
      <c r="J369" s="27"/>
      <c r="K369" s="27"/>
      <c r="L369" s="27"/>
      <c r="M369" s="27"/>
      <c r="N369" s="27"/>
      <c r="O369" s="27"/>
      <c r="P369" s="27"/>
      <c r="Q369" s="1499"/>
      <c r="AS369" s="1736">
        <v>7250</v>
      </c>
    </row>
    <row r="370" spans="1:45" x14ac:dyDescent="0.25">
      <c r="A370" s="27"/>
      <c r="B370" s="27"/>
      <c r="C370" s="27"/>
      <c r="D370" s="27"/>
      <c r="E370" s="27"/>
      <c r="F370" s="27"/>
      <c r="G370" s="27"/>
      <c r="H370" s="27"/>
      <c r="I370" s="27"/>
      <c r="J370" s="27"/>
      <c r="K370" s="27"/>
      <c r="L370" s="27"/>
      <c r="M370" s="27"/>
      <c r="N370" s="27"/>
      <c r="O370" s="27"/>
      <c r="P370" s="27"/>
      <c r="Q370" s="1499"/>
      <c r="AS370" s="1736">
        <v>7251</v>
      </c>
    </row>
    <row r="371" spans="1:45" x14ac:dyDescent="0.25">
      <c r="A371" s="27"/>
      <c r="B371" s="27"/>
      <c r="C371" s="27"/>
      <c r="D371" s="27"/>
      <c r="E371" s="27"/>
      <c r="F371" s="27"/>
      <c r="G371" s="27"/>
      <c r="H371" s="27"/>
      <c r="I371" s="27"/>
      <c r="J371" s="27"/>
      <c r="K371" s="27"/>
      <c r="L371" s="27"/>
      <c r="M371" s="27"/>
      <c r="N371" s="27"/>
      <c r="O371" s="27"/>
      <c r="P371" s="27"/>
      <c r="Q371" s="1499"/>
      <c r="AS371" s="1736">
        <v>7311</v>
      </c>
    </row>
    <row r="372" spans="1:45" x14ac:dyDescent="0.25">
      <c r="A372" s="27"/>
      <c r="B372" s="27"/>
      <c r="C372" s="27"/>
      <c r="D372" s="27"/>
      <c r="E372" s="27"/>
      <c r="F372" s="27"/>
      <c r="G372" s="27"/>
      <c r="H372" s="27"/>
      <c r="I372" s="27"/>
      <c r="J372" s="27"/>
      <c r="K372" s="27"/>
      <c r="L372" s="27"/>
      <c r="M372" s="27"/>
      <c r="N372" s="27"/>
      <c r="O372" s="27"/>
      <c r="P372" s="27"/>
      <c r="Q372" s="1499"/>
      <c r="AS372" s="1736">
        <v>7312</v>
      </c>
    </row>
    <row r="373" spans="1:45" x14ac:dyDescent="0.25">
      <c r="A373" s="27"/>
      <c r="B373" s="27"/>
      <c r="C373" s="27"/>
      <c r="D373" s="27"/>
      <c r="E373" s="27"/>
      <c r="F373" s="27"/>
      <c r="G373" s="27"/>
      <c r="H373" s="27"/>
      <c r="I373" s="27"/>
      <c r="J373" s="27"/>
      <c r="K373" s="27"/>
      <c r="L373" s="27"/>
      <c r="M373" s="27"/>
      <c r="N373" s="27"/>
      <c r="O373" s="27"/>
      <c r="P373" s="27"/>
      <c r="Q373" s="1499"/>
      <c r="AS373" s="1736">
        <v>7313</v>
      </c>
    </row>
    <row r="374" spans="1:45" x14ac:dyDescent="0.25">
      <c r="A374" s="27"/>
      <c r="B374" s="27"/>
      <c r="C374" s="27"/>
      <c r="D374" s="27"/>
      <c r="E374" s="27"/>
      <c r="F374" s="27"/>
      <c r="G374" s="27"/>
      <c r="H374" s="27"/>
      <c r="I374" s="27"/>
      <c r="J374" s="27"/>
      <c r="K374" s="27"/>
      <c r="L374" s="27"/>
      <c r="M374" s="27"/>
      <c r="N374" s="27"/>
      <c r="O374" s="27"/>
      <c r="P374" s="27"/>
      <c r="Q374" s="1499"/>
      <c r="AS374" s="1736">
        <v>7314</v>
      </c>
    </row>
    <row r="375" spans="1:45" x14ac:dyDescent="0.25">
      <c r="A375" s="27"/>
      <c r="B375" s="27"/>
      <c r="C375" s="27"/>
      <c r="D375" s="27"/>
      <c r="E375" s="27"/>
      <c r="F375" s="27"/>
      <c r="G375" s="27"/>
      <c r="H375" s="27"/>
      <c r="I375" s="27"/>
      <c r="J375" s="27"/>
      <c r="K375" s="27"/>
      <c r="L375" s="27"/>
      <c r="M375" s="27"/>
      <c r="N375" s="27"/>
      <c r="O375" s="27"/>
      <c r="P375" s="27"/>
      <c r="Q375" s="1499"/>
      <c r="AS375" s="1736">
        <v>7321</v>
      </c>
    </row>
    <row r="376" spans="1:45" x14ac:dyDescent="0.25">
      <c r="A376" s="27"/>
      <c r="B376" s="27"/>
      <c r="C376" s="27"/>
      <c r="D376" s="27"/>
      <c r="E376" s="27"/>
      <c r="F376" s="27"/>
      <c r="G376" s="27"/>
      <c r="H376" s="27"/>
      <c r="I376" s="27"/>
      <c r="J376" s="27"/>
      <c r="K376" s="27"/>
      <c r="L376" s="27"/>
      <c r="M376" s="27"/>
      <c r="N376" s="27"/>
      <c r="O376" s="27"/>
      <c r="P376" s="27"/>
      <c r="Q376" s="1499"/>
      <c r="AS376" s="1736">
        <v>7322</v>
      </c>
    </row>
    <row r="377" spans="1:45" x14ac:dyDescent="0.25">
      <c r="A377" s="27"/>
      <c r="B377" s="27"/>
      <c r="C377" s="27"/>
      <c r="D377" s="27"/>
      <c r="E377" s="27"/>
      <c r="F377" s="27"/>
      <c r="G377" s="27"/>
      <c r="H377" s="27"/>
      <c r="I377" s="27"/>
      <c r="J377" s="27"/>
      <c r="K377" s="27"/>
      <c r="L377" s="27"/>
      <c r="M377" s="27"/>
      <c r="N377" s="27"/>
      <c r="O377" s="27"/>
      <c r="P377" s="27"/>
      <c r="Q377" s="1499"/>
      <c r="AS377" s="1736">
        <v>7323</v>
      </c>
    </row>
    <row r="378" spans="1:45" x14ac:dyDescent="0.25">
      <c r="A378" s="27"/>
      <c r="B378" s="27"/>
      <c r="C378" s="27"/>
      <c r="D378" s="27"/>
      <c r="E378" s="27"/>
      <c r="F378" s="27"/>
      <c r="G378" s="27"/>
      <c r="H378" s="27"/>
      <c r="I378" s="27"/>
      <c r="J378" s="27"/>
      <c r="K378" s="27"/>
      <c r="L378" s="27"/>
      <c r="M378" s="27"/>
      <c r="N378" s="27"/>
      <c r="O378" s="27"/>
      <c r="P378" s="27"/>
      <c r="Q378" s="1499"/>
      <c r="AS378" s="1736">
        <v>7331</v>
      </c>
    </row>
    <row r="379" spans="1:45" x14ac:dyDescent="0.25">
      <c r="A379" s="27"/>
      <c r="B379" s="27"/>
      <c r="C379" s="27"/>
      <c r="D379" s="27"/>
      <c r="E379" s="27"/>
      <c r="F379" s="27"/>
      <c r="G379" s="27"/>
      <c r="H379" s="27"/>
      <c r="I379" s="27"/>
      <c r="J379" s="27"/>
      <c r="K379" s="27"/>
      <c r="L379" s="27"/>
      <c r="M379" s="27"/>
      <c r="N379" s="27"/>
      <c r="O379" s="27"/>
      <c r="P379" s="27"/>
      <c r="Q379" s="1499"/>
      <c r="AS379" s="1736">
        <v>7332</v>
      </c>
    </row>
    <row r="380" spans="1:45" x14ac:dyDescent="0.25">
      <c r="A380" s="27"/>
      <c r="B380" s="27"/>
      <c r="C380" s="27"/>
      <c r="D380" s="27"/>
      <c r="E380" s="27"/>
      <c r="F380" s="27"/>
      <c r="G380" s="27"/>
      <c r="H380" s="27"/>
      <c r="I380" s="27"/>
      <c r="J380" s="27"/>
      <c r="K380" s="27"/>
      <c r="L380" s="27"/>
      <c r="M380" s="27"/>
      <c r="N380" s="27"/>
      <c r="O380" s="27"/>
      <c r="P380" s="27"/>
      <c r="Q380" s="1499"/>
      <c r="AS380" s="1736">
        <v>7333</v>
      </c>
    </row>
    <row r="381" spans="1:45" x14ac:dyDescent="0.25">
      <c r="A381" s="27"/>
      <c r="B381" s="27"/>
      <c r="C381" s="27"/>
      <c r="D381" s="27"/>
      <c r="E381" s="27"/>
      <c r="F381" s="27"/>
      <c r="G381" s="27"/>
      <c r="H381" s="27"/>
      <c r="I381" s="27"/>
      <c r="J381" s="27"/>
      <c r="K381" s="27"/>
      <c r="L381" s="27"/>
      <c r="M381" s="27"/>
      <c r="N381" s="27"/>
      <c r="O381" s="27"/>
      <c r="P381" s="27"/>
      <c r="Q381" s="1499"/>
      <c r="AS381" s="1736">
        <v>7340</v>
      </c>
    </row>
    <row r="382" spans="1:45" x14ac:dyDescent="0.25">
      <c r="A382" s="27"/>
      <c r="B382" s="27"/>
      <c r="C382" s="27"/>
      <c r="D382" s="27"/>
      <c r="E382" s="27"/>
      <c r="F382" s="27"/>
      <c r="G382" s="27"/>
      <c r="H382" s="27"/>
      <c r="I382" s="27"/>
      <c r="J382" s="27"/>
      <c r="K382" s="27"/>
      <c r="L382" s="27"/>
      <c r="M382" s="27"/>
      <c r="N382" s="27"/>
      <c r="O382" s="27"/>
      <c r="P382" s="27"/>
      <c r="Q382" s="1499"/>
      <c r="AS382" s="1736">
        <v>7341</v>
      </c>
    </row>
    <row r="383" spans="1:45" x14ac:dyDescent="0.25">
      <c r="A383" s="27"/>
      <c r="B383" s="27"/>
      <c r="C383" s="27"/>
      <c r="D383" s="27"/>
      <c r="E383" s="27"/>
      <c r="F383" s="27"/>
      <c r="G383" s="27"/>
      <c r="H383" s="27"/>
      <c r="I383" s="27"/>
      <c r="J383" s="27"/>
      <c r="K383" s="27"/>
      <c r="L383" s="27"/>
      <c r="M383" s="27"/>
      <c r="N383" s="27"/>
      <c r="O383" s="27"/>
      <c r="P383" s="27"/>
      <c r="Q383" s="1499"/>
      <c r="AS383" s="1736">
        <v>7342</v>
      </c>
    </row>
    <row r="384" spans="1:45" x14ac:dyDescent="0.25">
      <c r="A384" s="27"/>
      <c r="B384" s="27"/>
      <c r="C384" s="27"/>
      <c r="D384" s="27"/>
      <c r="E384" s="27"/>
      <c r="F384" s="27"/>
      <c r="G384" s="27"/>
      <c r="H384" s="27"/>
      <c r="I384" s="27"/>
      <c r="J384" s="27"/>
      <c r="K384" s="27"/>
      <c r="L384" s="27"/>
      <c r="M384" s="27"/>
      <c r="N384" s="27"/>
      <c r="O384" s="27"/>
      <c r="P384" s="27"/>
      <c r="Q384" s="1499"/>
      <c r="AS384" s="1736">
        <v>7343</v>
      </c>
    </row>
    <row r="385" spans="1:45" x14ac:dyDescent="0.25">
      <c r="A385" s="27"/>
      <c r="B385" s="27"/>
      <c r="C385" s="27"/>
      <c r="D385" s="27"/>
      <c r="E385" s="27"/>
      <c r="F385" s="27"/>
      <c r="G385" s="27"/>
      <c r="H385" s="27"/>
      <c r="I385" s="27"/>
      <c r="J385" s="27"/>
      <c r="K385" s="27"/>
      <c r="L385" s="27"/>
      <c r="M385" s="27"/>
      <c r="N385" s="27"/>
      <c r="O385" s="27"/>
      <c r="P385" s="27"/>
      <c r="Q385" s="1499"/>
      <c r="AS385" s="1736">
        <v>7344</v>
      </c>
    </row>
    <row r="386" spans="1:45" x14ac:dyDescent="0.25">
      <c r="A386" s="27"/>
      <c r="B386" s="27"/>
      <c r="C386" s="27"/>
      <c r="D386" s="27"/>
      <c r="E386" s="27"/>
      <c r="F386" s="27"/>
      <c r="G386" s="27"/>
      <c r="H386" s="27"/>
      <c r="I386" s="27"/>
      <c r="J386" s="27"/>
      <c r="K386" s="27"/>
      <c r="L386" s="27"/>
      <c r="M386" s="27"/>
      <c r="N386" s="27"/>
      <c r="O386" s="27"/>
      <c r="P386" s="27"/>
      <c r="Q386" s="1499"/>
      <c r="AS386" s="1736">
        <v>7345</v>
      </c>
    </row>
    <row r="387" spans="1:45" x14ac:dyDescent="0.25">
      <c r="A387" s="27"/>
      <c r="B387" s="27"/>
      <c r="C387" s="27"/>
      <c r="D387" s="27"/>
      <c r="E387" s="27"/>
      <c r="F387" s="27"/>
      <c r="G387" s="27"/>
      <c r="H387" s="27"/>
      <c r="I387" s="27"/>
      <c r="J387" s="27"/>
      <c r="K387" s="27"/>
      <c r="L387" s="27"/>
      <c r="M387" s="27"/>
      <c r="N387" s="27"/>
      <c r="O387" s="27"/>
      <c r="P387" s="27"/>
      <c r="Q387" s="1499"/>
      <c r="AS387" s="1736">
        <v>7346</v>
      </c>
    </row>
    <row r="388" spans="1:45" x14ac:dyDescent="0.25">
      <c r="A388" s="27"/>
      <c r="B388" s="27"/>
      <c r="C388" s="27"/>
      <c r="D388" s="27"/>
      <c r="E388" s="27"/>
      <c r="F388" s="27"/>
      <c r="G388" s="27"/>
      <c r="H388" s="27"/>
      <c r="I388" s="27"/>
      <c r="J388" s="27"/>
      <c r="K388" s="27"/>
      <c r="L388" s="27"/>
      <c r="M388" s="27"/>
      <c r="N388" s="27"/>
      <c r="O388" s="27"/>
      <c r="P388" s="27"/>
      <c r="Q388" s="1499"/>
      <c r="AS388" s="1736">
        <v>7347</v>
      </c>
    </row>
    <row r="389" spans="1:45" x14ac:dyDescent="0.25">
      <c r="A389" s="27"/>
      <c r="B389" s="27"/>
      <c r="C389" s="27"/>
      <c r="D389" s="27"/>
      <c r="E389" s="27"/>
      <c r="F389" s="27"/>
      <c r="G389" s="27"/>
      <c r="H389" s="27"/>
      <c r="I389" s="27"/>
      <c r="J389" s="27"/>
      <c r="K389" s="27"/>
      <c r="L389" s="27"/>
      <c r="M389" s="27"/>
      <c r="N389" s="27"/>
      <c r="O389" s="27"/>
      <c r="P389" s="27"/>
      <c r="Q389" s="1499"/>
      <c r="AS389" s="1736">
        <v>7348</v>
      </c>
    </row>
    <row r="390" spans="1:45" x14ac:dyDescent="0.25">
      <c r="A390" s="27"/>
      <c r="B390" s="27"/>
      <c r="C390" s="27"/>
      <c r="D390" s="27"/>
      <c r="E390" s="27"/>
      <c r="F390" s="27"/>
      <c r="G390" s="27"/>
      <c r="H390" s="27"/>
      <c r="I390" s="27"/>
      <c r="J390" s="27"/>
      <c r="K390" s="27"/>
      <c r="L390" s="27"/>
      <c r="M390" s="27"/>
      <c r="N390" s="27"/>
      <c r="O390" s="27"/>
      <c r="P390" s="27"/>
      <c r="Q390" s="1499"/>
      <c r="AS390" s="1736">
        <v>7349</v>
      </c>
    </row>
    <row r="391" spans="1:45" x14ac:dyDescent="0.25">
      <c r="A391" s="27"/>
      <c r="B391" s="27"/>
      <c r="C391" s="27"/>
      <c r="D391" s="27"/>
      <c r="E391" s="27"/>
      <c r="F391" s="27"/>
      <c r="G391" s="27"/>
      <c r="H391" s="27"/>
      <c r="I391" s="27"/>
      <c r="J391" s="27"/>
      <c r="K391" s="27"/>
      <c r="L391" s="27"/>
      <c r="M391" s="27"/>
      <c r="N391" s="27"/>
      <c r="O391" s="27"/>
      <c r="P391" s="27"/>
      <c r="Q391" s="1499"/>
      <c r="AS391" s="1736">
        <v>7351</v>
      </c>
    </row>
    <row r="392" spans="1:45" x14ac:dyDescent="0.25">
      <c r="A392" s="27"/>
      <c r="B392" s="27"/>
      <c r="C392" s="27"/>
      <c r="D392" s="27"/>
      <c r="E392" s="27"/>
      <c r="F392" s="27"/>
      <c r="G392" s="27"/>
      <c r="H392" s="27"/>
      <c r="I392" s="27"/>
      <c r="J392" s="27"/>
      <c r="K392" s="27"/>
      <c r="L392" s="27"/>
      <c r="M392" s="27"/>
      <c r="N392" s="27"/>
      <c r="O392" s="27"/>
      <c r="P392" s="27"/>
      <c r="Q392" s="1499"/>
      <c r="AS392" s="1736">
        <v>7352</v>
      </c>
    </row>
    <row r="393" spans="1:45" x14ac:dyDescent="0.25">
      <c r="A393" s="27"/>
      <c r="B393" s="27"/>
      <c r="C393" s="27"/>
      <c r="D393" s="27"/>
      <c r="E393" s="27"/>
      <c r="F393" s="27"/>
      <c r="G393" s="27"/>
      <c r="H393" s="27"/>
      <c r="I393" s="27"/>
      <c r="J393" s="27"/>
      <c r="K393" s="27"/>
      <c r="L393" s="27"/>
      <c r="M393" s="27"/>
      <c r="N393" s="27"/>
      <c r="O393" s="27"/>
      <c r="P393" s="27"/>
      <c r="Q393" s="1499"/>
      <c r="AS393" s="1736">
        <v>7353</v>
      </c>
    </row>
    <row r="394" spans="1:45" x14ac:dyDescent="0.25">
      <c r="A394" s="27"/>
      <c r="B394" s="27"/>
      <c r="C394" s="27"/>
      <c r="D394" s="27"/>
      <c r="E394" s="27"/>
      <c r="F394" s="27"/>
      <c r="G394" s="27"/>
      <c r="H394" s="27"/>
      <c r="I394" s="27"/>
      <c r="J394" s="27"/>
      <c r="K394" s="27"/>
      <c r="L394" s="27"/>
      <c r="M394" s="27"/>
      <c r="N394" s="27"/>
      <c r="O394" s="27"/>
      <c r="P394" s="27"/>
      <c r="Q394" s="1499"/>
      <c r="AS394" s="1736">
        <v>7354</v>
      </c>
    </row>
    <row r="395" spans="1:45" x14ac:dyDescent="0.25">
      <c r="A395" s="27"/>
      <c r="B395" s="27"/>
      <c r="C395" s="27"/>
      <c r="D395" s="27"/>
      <c r="E395" s="27"/>
      <c r="F395" s="27"/>
      <c r="G395" s="27"/>
      <c r="H395" s="27"/>
      <c r="I395" s="27"/>
      <c r="J395" s="27"/>
      <c r="K395" s="27"/>
      <c r="L395" s="27"/>
      <c r="M395" s="27"/>
      <c r="N395" s="27"/>
      <c r="O395" s="27"/>
      <c r="P395" s="27"/>
      <c r="Q395" s="1499"/>
      <c r="AS395" s="1736">
        <v>7361</v>
      </c>
    </row>
    <row r="396" spans="1:45" x14ac:dyDescent="0.25">
      <c r="A396" s="27"/>
      <c r="B396" s="27"/>
      <c r="C396" s="27"/>
      <c r="D396" s="27"/>
      <c r="E396" s="27"/>
      <c r="F396" s="27"/>
      <c r="G396" s="27"/>
      <c r="H396" s="27"/>
      <c r="I396" s="27"/>
      <c r="J396" s="27"/>
      <c r="K396" s="27"/>
      <c r="L396" s="27"/>
      <c r="M396" s="27"/>
      <c r="N396" s="27"/>
      <c r="O396" s="27"/>
      <c r="P396" s="27"/>
      <c r="Q396" s="1499"/>
      <c r="AS396" s="1736">
        <v>7362</v>
      </c>
    </row>
    <row r="397" spans="1:45" x14ac:dyDescent="0.25">
      <c r="A397" s="27"/>
      <c r="B397" s="27"/>
      <c r="C397" s="27"/>
      <c r="D397" s="27"/>
      <c r="E397" s="27"/>
      <c r="F397" s="27"/>
      <c r="G397" s="27"/>
      <c r="H397" s="27"/>
      <c r="I397" s="27"/>
      <c r="J397" s="27"/>
      <c r="K397" s="27"/>
      <c r="L397" s="27"/>
      <c r="M397" s="27"/>
      <c r="N397" s="27"/>
      <c r="O397" s="27"/>
      <c r="P397" s="27"/>
      <c r="Q397" s="1499"/>
      <c r="AS397" s="1736">
        <v>7371</v>
      </c>
    </row>
    <row r="398" spans="1:45" x14ac:dyDescent="0.25">
      <c r="A398" s="27"/>
      <c r="B398" s="27"/>
      <c r="C398" s="27"/>
      <c r="D398" s="27"/>
      <c r="E398" s="27"/>
      <c r="F398" s="27"/>
      <c r="G398" s="27"/>
      <c r="H398" s="27"/>
      <c r="I398" s="27"/>
      <c r="J398" s="27"/>
      <c r="K398" s="27"/>
      <c r="L398" s="27"/>
      <c r="M398" s="27"/>
      <c r="N398" s="27"/>
      <c r="O398" s="27"/>
      <c r="P398" s="27"/>
      <c r="Q398" s="1499"/>
      <c r="AS398" s="1736">
        <v>7372</v>
      </c>
    </row>
    <row r="399" spans="1:45" x14ac:dyDescent="0.25">
      <c r="A399" s="27"/>
      <c r="B399" s="27"/>
      <c r="C399" s="27"/>
      <c r="D399" s="27"/>
      <c r="E399" s="27"/>
      <c r="F399" s="27"/>
      <c r="G399" s="27"/>
      <c r="H399" s="27"/>
      <c r="I399" s="27"/>
      <c r="J399" s="27"/>
      <c r="K399" s="27"/>
      <c r="L399" s="27"/>
      <c r="M399" s="27"/>
      <c r="N399" s="27"/>
      <c r="O399" s="27"/>
      <c r="P399" s="27"/>
      <c r="Q399" s="1499"/>
      <c r="AS399" s="1736">
        <v>7380</v>
      </c>
    </row>
    <row r="400" spans="1:45" x14ac:dyDescent="0.25">
      <c r="A400" s="27"/>
      <c r="B400" s="27"/>
      <c r="C400" s="27"/>
      <c r="D400" s="27"/>
      <c r="E400" s="27"/>
      <c r="F400" s="27"/>
      <c r="G400" s="27"/>
      <c r="H400" s="27"/>
      <c r="I400" s="27"/>
      <c r="J400" s="27"/>
      <c r="K400" s="27"/>
      <c r="L400" s="27"/>
      <c r="M400" s="27"/>
      <c r="N400" s="27"/>
      <c r="O400" s="27"/>
      <c r="P400" s="27"/>
      <c r="Q400" s="1499"/>
      <c r="AS400" s="1736">
        <v>7381</v>
      </c>
    </row>
    <row r="401" spans="1:45" x14ac:dyDescent="0.25">
      <c r="A401" s="27"/>
      <c r="B401" s="27"/>
      <c r="C401" s="27"/>
      <c r="D401" s="27"/>
      <c r="E401" s="27"/>
      <c r="F401" s="27"/>
      <c r="G401" s="27"/>
      <c r="H401" s="27"/>
      <c r="I401" s="27"/>
      <c r="J401" s="27"/>
      <c r="K401" s="27"/>
      <c r="L401" s="27"/>
      <c r="M401" s="27"/>
      <c r="N401" s="27"/>
      <c r="O401" s="27"/>
      <c r="P401" s="27"/>
      <c r="Q401" s="1499"/>
      <c r="AS401" s="1736">
        <v>7382</v>
      </c>
    </row>
    <row r="402" spans="1:45" x14ac:dyDescent="0.25">
      <c r="A402" s="27"/>
      <c r="B402" s="27"/>
      <c r="C402" s="27"/>
      <c r="D402" s="27"/>
      <c r="E402" s="27"/>
      <c r="F402" s="27"/>
      <c r="G402" s="27"/>
      <c r="H402" s="27"/>
      <c r="I402" s="27"/>
      <c r="J402" s="27"/>
      <c r="K402" s="27"/>
      <c r="L402" s="27"/>
      <c r="M402" s="27"/>
      <c r="N402" s="27"/>
      <c r="O402" s="27"/>
      <c r="P402" s="27"/>
      <c r="Q402" s="1499"/>
      <c r="AS402" s="1736">
        <v>7383</v>
      </c>
    </row>
    <row r="403" spans="1:45" x14ac:dyDescent="0.25">
      <c r="A403" s="27"/>
      <c r="B403" s="27"/>
      <c r="C403" s="27"/>
      <c r="D403" s="27"/>
      <c r="E403" s="27"/>
      <c r="F403" s="27"/>
      <c r="G403" s="27"/>
      <c r="H403" s="27"/>
      <c r="I403" s="27"/>
      <c r="J403" s="27"/>
      <c r="K403" s="27"/>
      <c r="L403" s="27"/>
      <c r="M403" s="27"/>
      <c r="N403" s="27"/>
      <c r="O403" s="27"/>
      <c r="P403" s="27"/>
      <c r="Q403" s="1499"/>
      <c r="AS403" s="1736">
        <v>7384</v>
      </c>
    </row>
    <row r="404" spans="1:45" x14ac:dyDescent="0.25">
      <c r="A404" s="27"/>
      <c r="B404" s="27"/>
      <c r="C404" s="27"/>
      <c r="D404" s="27"/>
      <c r="E404" s="27"/>
      <c r="F404" s="27"/>
      <c r="G404" s="27"/>
      <c r="H404" s="27"/>
      <c r="I404" s="27"/>
      <c r="J404" s="27"/>
      <c r="K404" s="27"/>
      <c r="L404" s="27"/>
      <c r="M404" s="27"/>
      <c r="N404" s="27"/>
      <c r="O404" s="27"/>
      <c r="P404" s="27"/>
      <c r="Q404" s="1499"/>
      <c r="AS404" s="1736">
        <v>7385</v>
      </c>
    </row>
    <row r="405" spans="1:45" x14ac:dyDescent="0.25">
      <c r="A405" s="27"/>
      <c r="B405" s="27"/>
      <c r="C405" s="27"/>
      <c r="D405" s="27"/>
      <c r="E405" s="27"/>
      <c r="F405" s="27"/>
      <c r="G405" s="27"/>
      <c r="H405" s="27"/>
      <c r="I405" s="27"/>
      <c r="J405" s="27"/>
      <c r="K405" s="27"/>
      <c r="L405" s="27"/>
      <c r="M405" s="27"/>
      <c r="N405" s="27"/>
      <c r="O405" s="27"/>
      <c r="P405" s="27"/>
      <c r="Q405" s="1499"/>
      <c r="AS405" s="1736">
        <v>7386</v>
      </c>
    </row>
    <row r="406" spans="1:45" x14ac:dyDescent="0.25">
      <c r="A406" s="27"/>
      <c r="B406" s="27"/>
      <c r="C406" s="27"/>
      <c r="D406" s="27"/>
      <c r="E406" s="27"/>
      <c r="F406" s="27"/>
      <c r="G406" s="27"/>
      <c r="H406" s="27"/>
      <c r="I406" s="27"/>
      <c r="J406" s="27"/>
      <c r="K406" s="27"/>
      <c r="L406" s="27"/>
      <c r="M406" s="27"/>
      <c r="N406" s="27"/>
      <c r="O406" s="27"/>
      <c r="P406" s="27"/>
      <c r="Q406" s="1499"/>
      <c r="AS406" s="1736">
        <v>7387</v>
      </c>
    </row>
    <row r="407" spans="1:45" x14ac:dyDescent="0.25">
      <c r="A407" s="27"/>
      <c r="B407" s="27"/>
      <c r="C407" s="27"/>
      <c r="D407" s="27"/>
      <c r="E407" s="27"/>
      <c r="F407" s="27"/>
      <c r="G407" s="27"/>
      <c r="H407" s="27"/>
      <c r="I407" s="27"/>
      <c r="J407" s="27"/>
      <c r="K407" s="27"/>
      <c r="L407" s="27"/>
      <c r="M407" s="27"/>
      <c r="N407" s="27"/>
      <c r="O407" s="27"/>
      <c r="P407" s="27"/>
      <c r="Q407" s="1499"/>
      <c r="AS407" s="1736">
        <v>7388</v>
      </c>
    </row>
    <row r="408" spans="1:45" x14ac:dyDescent="0.25">
      <c r="A408" s="27"/>
      <c r="B408" s="27"/>
      <c r="C408" s="27"/>
      <c r="D408" s="27"/>
      <c r="E408" s="27"/>
      <c r="F408" s="27"/>
      <c r="G408" s="27"/>
      <c r="H408" s="27"/>
      <c r="I408" s="27"/>
      <c r="J408" s="27"/>
      <c r="K408" s="27"/>
      <c r="L408" s="27"/>
      <c r="M408" s="27"/>
      <c r="N408" s="27"/>
      <c r="O408" s="27"/>
      <c r="P408" s="27"/>
      <c r="Q408" s="1499"/>
      <c r="AS408" s="1736">
        <v>7389</v>
      </c>
    </row>
    <row r="409" spans="1:45" x14ac:dyDescent="0.25">
      <c r="A409" s="27"/>
      <c r="B409" s="27"/>
      <c r="C409" s="27"/>
      <c r="D409" s="27"/>
      <c r="E409" s="27"/>
      <c r="F409" s="27"/>
      <c r="G409" s="27"/>
      <c r="H409" s="27"/>
      <c r="I409" s="27"/>
      <c r="J409" s="27"/>
      <c r="K409" s="27"/>
      <c r="L409" s="27"/>
      <c r="M409" s="27"/>
      <c r="N409" s="27"/>
      <c r="O409" s="27"/>
      <c r="P409" s="27"/>
      <c r="Q409" s="1499"/>
      <c r="AS409" s="1736">
        <v>7411</v>
      </c>
    </row>
    <row r="410" spans="1:45" x14ac:dyDescent="0.25">
      <c r="A410" s="27"/>
      <c r="B410" s="27"/>
      <c r="C410" s="27"/>
      <c r="D410" s="27"/>
      <c r="E410" s="27"/>
      <c r="F410" s="27"/>
      <c r="G410" s="27"/>
      <c r="H410" s="27"/>
      <c r="I410" s="27"/>
      <c r="J410" s="27"/>
      <c r="K410" s="27"/>
      <c r="L410" s="27"/>
      <c r="M410" s="27"/>
      <c r="N410" s="27"/>
      <c r="O410" s="27"/>
      <c r="P410" s="27"/>
      <c r="Q410" s="1499"/>
      <c r="AS410" s="1736">
        <v>7412</v>
      </c>
    </row>
    <row r="411" spans="1:45" x14ac:dyDescent="0.25">
      <c r="A411" s="27"/>
      <c r="B411" s="27"/>
      <c r="C411" s="27"/>
      <c r="D411" s="27"/>
      <c r="E411" s="27"/>
      <c r="F411" s="27"/>
      <c r="G411" s="27"/>
      <c r="H411" s="27"/>
      <c r="I411" s="27"/>
      <c r="J411" s="27"/>
      <c r="K411" s="27"/>
      <c r="L411" s="27"/>
      <c r="M411" s="27"/>
      <c r="N411" s="27"/>
      <c r="O411" s="27"/>
      <c r="P411" s="27"/>
      <c r="Q411" s="1499"/>
      <c r="AS411" s="1736">
        <v>7413</v>
      </c>
    </row>
    <row r="412" spans="1:45" x14ac:dyDescent="0.25">
      <c r="A412" s="27"/>
      <c r="B412" s="27"/>
      <c r="C412" s="27"/>
      <c r="D412" s="27"/>
      <c r="E412" s="27"/>
      <c r="F412" s="27"/>
      <c r="G412" s="27"/>
      <c r="H412" s="27"/>
      <c r="I412" s="27"/>
      <c r="J412" s="27"/>
      <c r="K412" s="27"/>
      <c r="L412" s="27"/>
      <c r="M412" s="27"/>
      <c r="N412" s="27"/>
      <c r="O412" s="27"/>
      <c r="P412" s="27"/>
      <c r="Q412" s="1499"/>
      <c r="AS412" s="1736">
        <v>7414</v>
      </c>
    </row>
    <row r="413" spans="1:45" x14ac:dyDescent="0.25">
      <c r="A413" s="27"/>
      <c r="B413" s="27"/>
      <c r="C413" s="27"/>
      <c r="D413" s="27"/>
      <c r="E413" s="27"/>
      <c r="F413" s="27"/>
      <c r="G413" s="27"/>
      <c r="H413" s="27"/>
      <c r="I413" s="27"/>
      <c r="J413" s="27"/>
      <c r="K413" s="27"/>
      <c r="L413" s="27"/>
      <c r="M413" s="27"/>
      <c r="N413" s="27"/>
      <c r="O413" s="27"/>
      <c r="P413" s="27"/>
      <c r="Q413" s="1499"/>
      <c r="AS413" s="1736">
        <v>7415</v>
      </c>
    </row>
    <row r="414" spans="1:45" x14ac:dyDescent="0.25">
      <c r="A414" s="27"/>
      <c r="B414" s="27"/>
      <c r="C414" s="27"/>
      <c r="D414" s="27"/>
      <c r="E414" s="27"/>
      <c r="F414" s="27"/>
      <c r="G414" s="27"/>
      <c r="H414" s="27"/>
      <c r="I414" s="27"/>
      <c r="J414" s="27"/>
      <c r="K414" s="27"/>
      <c r="L414" s="27"/>
      <c r="M414" s="27"/>
      <c r="N414" s="27"/>
      <c r="O414" s="27"/>
      <c r="P414" s="27"/>
      <c r="Q414" s="1499"/>
      <c r="AS414" s="1736">
        <v>7416</v>
      </c>
    </row>
    <row r="415" spans="1:45" x14ac:dyDescent="0.25">
      <c r="A415" s="27"/>
      <c r="B415" s="27"/>
      <c r="C415" s="27"/>
      <c r="D415" s="27"/>
      <c r="E415" s="27"/>
      <c r="F415" s="27"/>
      <c r="G415" s="27"/>
      <c r="H415" s="27"/>
      <c r="I415" s="27"/>
      <c r="J415" s="27"/>
      <c r="K415" s="27"/>
      <c r="L415" s="27"/>
      <c r="M415" s="27"/>
      <c r="N415" s="27"/>
      <c r="O415" s="27"/>
      <c r="P415" s="27"/>
      <c r="Q415" s="1499"/>
      <c r="AS415" s="1736">
        <v>7417</v>
      </c>
    </row>
    <row r="416" spans="1:45" x14ac:dyDescent="0.25">
      <c r="A416" s="27"/>
      <c r="B416" s="27"/>
      <c r="C416" s="27"/>
      <c r="D416" s="27"/>
      <c r="E416" s="27"/>
      <c r="F416" s="27"/>
      <c r="G416" s="27"/>
      <c r="H416" s="27"/>
      <c r="I416" s="27"/>
      <c r="J416" s="27"/>
      <c r="K416" s="27"/>
      <c r="L416" s="27"/>
      <c r="M416" s="27"/>
      <c r="N416" s="27"/>
      <c r="O416" s="27"/>
      <c r="P416" s="27"/>
      <c r="Q416" s="1499"/>
      <c r="AS416" s="1736">
        <v>7418</v>
      </c>
    </row>
    <row r="417" spans="45:45" x14ac:dyDescent="0.25">
      <c r="AS417" s="1736">
        <v>7421</v>
      </c>
    </row>
    <row r="418" spans="45:45" x14ac:dyDescent="0.25">
      <c r="AS418" s="1736">
        <v>7422</v>
      </c>
    </row>
    <row r="419" spans="45:45" x14ac:dyDescent="0.25">
      <c r="AS419" s="1736">
        <v>7431</v>
      </c>
    </row>
    <row r="420" spans="45:45" x14ac:dyDescent="0.25">
      <c r="AS420" s="1736">
        <v>7441</v>
      </c>
    </row>
    <row r="421" spans="45:45" x14ac:dyDescent="0.25">
      <c r="AS421" s="1736">
        <v>7442</v>
      </c>
    </row>
    <row r="422" spans="45:45" x14ac:dyDescent="0.25">
      <c r="AS422" s="1736">
        <v>7443</v>
      </c>
    </row>
    <row r="423" spans="45:45" x14ac:dyDescent="0.25">
      <c r="AS423" s="1736">
        <v>7444</v>
      </c>
    </row>
    <row r="424" spans="45:45" x14ac:dyDescent="0.25">
      <c r="AS424" s="1736">
        <v>7445</v>
      </c>
    </row>
    <row r="425" spans="45:45" x14ac:dyDescent="0.25">
      <c r="AS425" s="1736">
        <v>7446</v>
      </c>
    </row>
    <row r="426" spans="45:45" x14ac:dyDescent="0.25">
      <c r="AS426" s="1736">
        <v>7447</v>
      </c>
    </row>
    <row r="427" spans="45:45" x14ac:dyDescent="0.25">
      <c r="AS427" s="1736">
        <v>7511</v>
      </c>
    </row>
    <row r="428" spans="45:45" x14ac:dyDescent="0.25">
      <c r="AS428" s="1736">
        <v>7512</v>
      </c>
    </row>
    <row r="429" spans="45:45" x14ac:dyDescent="0.25">
      <c r="AS429" s="1736">
        <v>7513</v>
      </c>
    </row>
    <row r="430" spans="45:45" x14ac:dyDescent="0.25">
      <c r="AS430" s="1736">
        <v>7514</v>
      </c>
    </row>
    <row r="431" spans="45:45" x14ac:dyDescent="0.25">
      <c r="AS431" s="1736">
        <v>7515</v>
      </c>
    </row>
    <row r="432" spans="45:45" x14ac:dyDescent="0.25">
      <c r="AS432" s="1736">
        <v>7516</v>
      </c>
    </row>
    <row r="433" spans="45:45" x14ac:dyDescent="0.25">
      <c r="AS433" s="1736">
        <v>7517</v>
      </c>
    </row>
    <row r="434" spans="45:45" x14ac:dyDescent="0.25">
      <c r="AS434" s="1736">
        <v>7518</v>
      </c>
    </row>
    <row r="435" spans="45:45" x14ac:dyDescent="0.25">
      <c r="AS435" s="1736">
        <v>7521</v>
      </c>
    </row>
    <row r="436" spans="45:45" x14ac:dyDescent="0.25">
      <c r="AS436" s="1736">
        <v>7522</v>
      </c>
    </row>
    <row r="437" spans="45:45" x14ac:dyDescent="0.25">
      <c r="AS437" s="1736">
        <v>7523</v>
      </c>
    </row>
    <row r="438" spans="45:45" x14ac:dyDescent="0.25">
      <c r="AS438" s="1736">
        <v>7524</v>
      </c>
    </row>
    <row r="439" spans="45:45" x14ac:dyDescent="0.25">
      <c r="AS439" s="1736">
        <v>7531</v>
      </c>
    </row>
    <row r="440" spans="45:45" x14ac:dyDescent="0.25">
      <c r="AS440" s="1736">
        <v>7532</v>
      </c>
    </row>
    <row r="441" spans="45:45" x14ac:dyDescent="0.25">
      <c r="AS441" s="1736">
        <v>7541</v>
      </c>
    </row>
    <row r="442" spans="45:45" x14ac:dyDescent="0.25">
      <c r="AS442" s="1736">
        <v>7542</v>
      </c>
    </row>
    <row r="443" spans="45:45" x14ac:dyDescent="0.25">
      <c r="AS443" s="1736">
        <v>7543</v>
      </c>
    </row>
    <row r="444" spans="45:45" x14ac:dyDescent="0.25">
      <c r="AS444" s="1736">
        <v>7601</v>
      </c>
    </row>
    <row r="445" spans="45:45" x14ac:dyDescent="0.25">
      <c r="AS445" s="1736">
        <v>7602</v>
      </c>
    </row>
    <row r="446" spans="45:45" x14ac:dyDescent="0.25">
      <c r="AS446" s="1736">
        <v>7603</v>
      </c>
    </row>
    <row r="447" spans="45:45" x14ac:dyDescent="0.25">
      <c r="AS447" s="1736">
        <v>7604</v>
      </c>
    </row>
    <row r="448" spans="45:45" x14ac:dyDescent="0.25">
      <c r="AS448" s="1736">
        <v>7605</v>
      </c>
    </row>
    <row r="449" spans="45:45" x14ac:dyDescent="0.25">
      <c r="AS449" s="1736">
        <v>7606</v>
      </c>
    </row>
    <row r="450" spans="45:45" x14ac:dyDescent="0.25">
      <c r="AS450" s="1736">
        <v>8111</v>
      </c>
    </row>
    <row r="451" spans="45:45" x14ac:dyDescent="0.25">
      <c r="AS451" s="1736">
        <v>8112</v>
      </c>
    </row>
    <row r="452" spans="45:45" x14ac:dyDescent="0.25">
      <c r="AS452" s="1736">
        <v>8114</v>
      </c>
    </row>
    <row r="453" spans="45:45" x14ac:dyDescent="0.25">
      <c r="AS453" s="1736">
        <v>8121</v>
      </c>
    </row>
    <row r="454" spans="45:45" x14ac:dyDescent="0.25">
      <c r="AS454" s="1736">
        <v>8122</v>
      </c>
    </row>
    <row r="455" spans="45:45" x14ac:dyDescent="0.25">
      <c r="AS455" s="1736">
        <v>8123</v>
      </c>
    </row>
    <row r="456" spans="45:45" x14ac:dyDescent="0.25">
      <c r="AS456" s="1736">
        <v>8131</v>
      </c>
    </row>
    <row r="457" spans="45:45" x14ac:dyDescent="0.25">
      <c r="AS457" s="1736">
        <v>8132</v>
      </c>
    </row>
    <row r="458" spans="45:45" x14ac:dyDescent="0.25">
      <c r="AS458" s="1736">
        <v>8133</v>
      </c>
    </row>
    <row r="459" spans="45:45" x14ac:dyDescent="0.25">
      <c r="AS459" s="1736">
        <v>8211</v>
      </c>
    </row>
    <row r="460" spans="45:45" x14ac:dyDescent="0.25">
      <c r="AS460" s="1736">
        <v>8221</v>
      </c>
    </row>
    <row r="461" spans="45:45" x14ac:dyDescent="0.25">
      <c r="AS461" s="1736">
        <v>8231</v>
      </c>
    </row>
    <row r="462" spans="45:45" x14ac:dyDescent="0.25">
      <c r="AS462" s="1736">
        <v>8232</v>
      </c>
    </row>
    <row r="463" spans="45:45" x14ac:dyDescent="0.25">
      <c r="AS463" s="1736">
        <v>8241</v>
      </c>
    </row>
    <row r="464" spans="45:45" x14ac:dyDescent="0.25">
      <c r="AS464" s="1736">
        <v>8261</v>
      </c>
    </row>
    <row r="465" spans="45:45" x14ac:dyDescent="0.25">
      <c r="AS465" s="1736">
        <v>8271</v>
      </c>
    </row>
    <row r="466" spans="45:45" x14ac:dyDescent="0.25">
      <c r="AS466" s="1736">
        <v>8311</v>
      </c>
    </row>
    <row r="467" spans="45:45" x14ac:dyDescent="0.25">
      <c r="AS467" s="1736">
        <v>8312</v>
      </c>
    </row>
    <row r="468" spans="45:45" x14ac:dyDescent="0.25">
      <c r="AS468" s="1736">
        <v>8313</v>
      </c>
    </row>
    <row r="469" spans="45:45" x14ac:dyDescent="0.25">
      <c r="AS469" s="1736">
        <v>8314</v>
      </c>
    </row>
    <row r="470" spans="45:45" x14ac:dyDescent="0.25">
      <c r="AS470" s="1736">
        <v>8315</v>
      </c>
    </row>
    <row r="471" spans="45:45" x14ac:dyDescent="0.25">
      <c r="AS471" s="1736">
        <v>8316</v>
      </c>
    </row>
    <row r="472" spans="45:45" x14ac:dyDescent="0.25">
      <c r="AS472" s="1736">
        <v>8321</v>
      </c>
    </row>
    <row r="473" spans="45:45" x14ac:dyDescent="0.25">
      <c r="AS473" s="1736">
        <v>8331</v>
      </c>
    </row>
    <row r="474" spans="45:45" x14ac:dyDescent="0.25">
      <c r="AS474" s="1736">
        <v>8332</v>
      </c>
    </row>
    <row r="475" spans="45:45" x14ac:dyDescent="0.25">
      <c r="AS475" s="1736">
        <v>8333</v>
      </c>
    </row>
    <row r="476" spans="45:45" x14ac:dyDescent="0.25">
      <c r="AS476" s="1736">
        <v>8334</v>
      </c>
    </row>
    <row r="477" spans="45:45" x14ac:dyDescent="0.25">
      <c r="AS477" s="1736">
        <v>8411</v>
      </c>
    </row>
    <row r="478" spans="45:45" x14ac:dyDescent="0.25">
      <c r="AS478" s="1736">
        <v>8412</v>
      </c>
    </row>
    <row r="479" spans="45:45" x14ac:dyDescent="0.25">
      <c r="AS479" s="1736">
        <v>8413</v>
      </c>
    </row>
    <row r="480" spans="45:45" x14ac:dyDescent="0.25">
      <c r="AS480" s="1736">
        <v>8414</v>
      </c>
    </row>
    <row r="481" spans="45:45" x14ac:dyDescent="0.25">
      <c r="AS481" s="1736">
        <v>8415</v>
      </c>
    </row>
    <row r="482" spans="45:45" x14ac:dyDescent="0.25">
      <c r="AS482" s="1736">
        <v>8421</v>
      </c>
    </row>
    <row r="483" spans="45:45" x14ac:dyDescent="0.25">
      <c r="AS483" s="1736">
        <v>8422</v>
      </c>
    </row>
    <row r="484" spans="45:45" x14ac:dyDescent="0.25">
      <c r="AS484" s="1736">
        <v>8431</v>
      </c>
    </row>
    <row r="485" spans="45:45" x14ac:dyDescent="0.25">
      <c r="AS485" s="1736">
        <v>8432</v>
      </c>
    </row>
    <row r="486" spans="45:45" x14ac:dyDescent="0.25">
      <c r="AS486" s="1736">
        <v>8433</v>
      </c>
    </row>
    <row r="487" spans="45:45" x14ac:dyDescent="0.25">
      <c r="AS487" s="1736">
        <v>8434</v>
      </c>
    </row>
    <row r="488" spans="45:45" x14ac:dyDescent="0.25">
      <c r="AS488" s="1736">
        <v>8435</v>
      </c>
    </row>
    <row r="489" spans="45:45" x14ac:dyDescent="0.25">
      <c r="AS489" s="1736">
        <v>8441</v>
      </c>
    </row>
    <row r="490" spans="45:45" x14ac:dyDescent="0.25">
      <c r="AS490" s="1736">
        <v>8442</v>
      </c>
    </row>
    <row r="491" spans="45:45" x14ac:dyDescent="0.25">
      <c r="AS491" s="1736">
        <v>8443</v>
      </c>
    </row>
    <row r="492" spans="45:45" x14ac:dyDescent="0.25">
      <c r="AS492" s="1736">
        <v>8451</v>
      </c>
    </row>
    <row r="493" spans="45:45" x14ac:dyDescent="0.25">
      <c r="AS493" s="1736">
        <v>8452</v>
      </c>
    </row>
    <row r="494" spans="45:45" x14ac:dyDescent="0.25">
      <c r="AS494" s="1736">
        <v>8511</v>
      </c>
    </row>
    <row r="495" spans="45:45" x14ac:dyDescent="0.25">
      <c r="AS495" s="1736">
        <v>8512</v>
      </c>
    </row>
    <row r="496" spans="45:45" x14ac:dyDescent="0.25">
      <c r="AS496" s="1736">
        <v>8513</v>
      </c>
    </row>
    <row r="497" spans="45:45" x14ac:dyDescent="0.25">
      <c r="AS497" s="1736">
        <v>8514</v>
      </c>
    </row>
    <row r="498" spans="45:45" x14ac:dyDescent="0.25">
      <c r="AS498" s="1736">
        <v>8521</v>
      </c>
    </row>
    <row r="499" spans="45:45" x14ac:dyDescent="0.25">
      <c r="AS499" s="1736">
        <v>8522</v>
      </c>
    </row>
    <row r="500" spans="45:45" x14ac:dyDescent="0.25">
      <c r="AS500" s="1736">
        <v>8523</v>
      </c>
    </row>
    <row r="501" spans="45:45" x14ac:dyDescent="0.25">
      <c r="AS501" s="1736">
        <v>8524</v>
      </c>
    </row>
    <row r="502" spans="45:45" x14ac:dyDescent="0.25">
      <c r="AS502" s="1736">
        <v>8525</v>
      </c>
    </row>
    <row r="503" spans="45:45" x14ac:dyDescent="0.25">
      <c r="AS503" s="1736">
        <v>8526</v>
      </c>
    </row>
    <row r="504" spans="45:45" x14ac:dyDescent="0.25">
      <c r="AS504" s="1736">
        <v>8531</v>
      </c>
    </row>
    <row r="505" spans="45:45" x14ac:dyDescent="0.25">
      <c r="AS505" s="1736">
        <v>8541</v>
      </c>
    </row>
    <row r="506" spans="45:45" x14ac:dyDescent="0.25">
      <c r="AS506" s="1736">
        <v>8601</v>
      </c>
    </row>
    <row r="507" spans="45:45" x14ac:dyDescent="0.25">
      <c r="AS507" s="1736">
        <v>8611</v>
      </c>
    </row>
    <row r="508" spans="45:45" x14ac:dyDescent="0.25">
      <c r="AS508" s="1736">
        <v>8612</v>
      </c>
    </row>
    <row r="509" spans="45:45" x14ac:dyDescent="0.25">
      <c r="AS509" s="1736">
        <v>8711</v>
      </c>
    </row>
    <row r="510" spans="45:45" x14ac:dyDescent="0.25">
      <c r="AS510" s="1736">
        <v>8712</v>
      </c>
    </row>
    <row r="511" spans="45:45" x14ac:dyDescent="0.25">
      <c r="AS511" s="1736">
        <v>8713</v>
      </c>
    </row>
    <row r="512" spans="45:45" x14ac:dyDescent="0.25">
      <c r="AS512" s="1736">
        <v>8714</v>
      </c>
    </row>
    <row r="513" spans="45:45" x14ac:dyDescent="0.25">
      <c r="AS513" s="1736">
        <v>8715</v>
      </c>
    </row>
    <row r="514" spans="45:45" x14ac:dyDescent="0.25">
      <c r="AS514" s="1736">
        <v>8721</v>
      </c>
    </row>
    <row r="515" spans="45:45" x14ac:dyDescent="0.25">
      <c r="AS515" s="1736">
        <v>8722</v>
      </c>
    </row>
    <row r="516" spans="45:45" x14ac:dyDescent="0.25">
      <c r="AS516" s="1736">
        <v>8811</v>
      </c>
    </row>
    <row r="517" spans="45:45" x14ac:dyDescent="0.25">
      <c r="AS517" s="1736">
        <v>8821</v>
      </c>
    </row>
    <row r="518" spans="45:45" x14ac:dyDescent="0.25">
      <c r="AS518" s="1736">
        <v>8910</v>
      </c>
    </row>
    <row r="519" spans="45:45" x14ac:dyDescent="0.25">
      <c r="AS519" s="1736">
        <v>8921</v>
      </c>
    </row>
    <row r="520" spans="45:45" x14ac:dyDescent="0.25">
      <c r="AS520" s="1736">
        <v>8922</v>
      </c>
    </row>
    <row r="521" spans="45:45" x14ac:dyDescent="0.25">
      <c r="AS521" s="1736">
        <v>8923</v>
      </c>
    </row>
    <row r="522" spans="45:45" x14ac:dyDescent="0.25">
      <c r="AS522" s="1736">
        <v>8924</v>
      </c>
    </row>
    <row r="523" spans="45:45" x14ac:dyDescent="0.25">
      <c r="AS523" s="1736">
        <v>8925</v>
      </c>
    </row>
    <row r="524" spans="45:45" x14ac:dyDescent="0.25">
      <c r="AS524" s="1736">
        <v>8926</v>
      </c>
    </row>
    <row r="525" spans="45:45" x14ac:dyDescent="0.25">
      <c r="AS525" s="1736">
        <v>8927</v>
      </c>
    </row>
    <row r="526" spans="45:45" x14ac:dyDescent="0.25">
      <c r="AS526" s="1736">
        <v>8928</v>
      </c>
    </row>
    <row r="527" spans="45:45" x14ac:dyDescent="0.25">
      <c r="AS527" s="1736">
        <v>8929</v>
      </c>
    </row>
    <row r="528" spans="45:45" x14ac:dyDescent="0.25">
      <c r="AS528" s="1736">
        <v>8930</v>
      </c>
    </row>
    <row r="529" spans="45:45" x14ac:dyDescent="0.25">
      <c r="AS529" s="1736">
        <v>8931</v>
      </c>
    </row>
    <row r="530" spans="45:45" x14ac:dyDescent="0.25">
      <c r="AS530" s="1736">
        <v>8932</v>
      </c>
    </row>
    <row r="531" spans="45:45" x14ac:dyDescent="0.25">
      <c r="AS531" s="1736">
        <v>8951</v>
      </c>
    </row>
    <row r="532" spans="45:45" x14ac:dyDescent="0.25">
      <c r="AS532" s="1736">
        <v>9351</v>
      </c>
    </row>
    <row r="533" spans="45:45" x14ac:dyDescent="0.25">
      <c r="AS533" s="1736" t="s">
        <v>3094</v>
      </c>
    </row>
  </sheetData>
  <autoFilter ref="A3:Q3" xr:uid="{00000000-0009-0000-0000-000004000000}"/>
  <mergeCells count="24">
    <mergeCell ref="A282:Q282"/>
    <mergeCell ref="A283:Q283"/>
    <mergeCell ref="A284:Q284"/>
    <mergeCell ref="A285:Q285"/>
    <mergeCell ref="A286:Q286"/>
    <mergeCell ref="A287:Q287"/>
    <mergeCell ref="A276:Q276"/>
    <mergeCell ref="A277:Q277"/>
    <mergeCell ref="A278:Q278"/>
    <mergeCell ref="A279:Q279"/>
    <mergeCell ref="A280:Q280"/>
    <mergeCell ref="A281:Q281"/>
    <mergeCell ref="A270:Q270"/>
    <mergeCell ref="A271:Q271"/>
    <mergeCell ref="A272:Q272"/>
    <mergeCell ref="A273:Q273"/>
    <mergeCell ref="A274:Q274"/>
    <mergeCell ref="A275:Q275"/>
    <mergeCell ref="A1:D2"/>
    <mergeCell ref="E1:G1"/>
    <mergeCell ref="H1:N1"/>
    <mergeCell ref="P1:Q1"/>
    <mergeCell ref="A268:Q268"/>
    <mergeCell ref="A269:Q269"/>
  </mergeCells>
  <pageMargins left="0.25" right="0.25" top="1" bottom="0.25" header="0.05" footer="0.05"/>
  <pageSetup paperSize="3" scale="88"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88482-2758-4D5E-9CF4-6469097C90EB}">
  <dimension ref="A1:H17"/>
  <sheetViews>
    <sheetView workbookViewId="0">
      <selection activeCell="N3" sqref="N3"/>
    </sheetView>
  </sheetViews>
  <sheetFormatPr defaultRowHeight="15" x14ac:dyDescent="0.25"/>
  <cols>
    <col min="2" max="6" width="23.7109375" customWidth="1"/>
    <col min="7" max="7" width="11.85546875" customWidth="1"/>
  </cols>
  <sheetData>
    <row r="1" spans="1:8" ht="15.75" thickBot="1" x14ac:dyDescent="0.3">
      <c r="A1" s="1734" t="s">
        <v>3095</v>
      </c>
    </row>
    <row r="2" spans="1:8" ht="15.75" thickBot="1" x14ac:dyDescent="0.3">
      <c r="A2" s="1740" t="s">
        <v>3096</v>
      </c>
      <c r="B2" s="1741" t="s">
        <v>3097</v>
      </c>
      <c r="C2" s="1741" t="s">
        <v>3098</v>
      </c>
      <c r="D2" s="1741" t="s">
        <v>3099</v>
      </c>
      <c r="E2" s="1741" t="s">
        <v>3100</v>
      </c>
      <c r="F2" s="1742" t="s">
        <v>3101</v>
      </c>
    </row>
    <row r="3" spans="1:8" ht="150.75" thickBot="1" x14ac:dyDescent="0.3">
      <c r="A3" s="1743" t="s">
        <v>3102</v>
      </c>
      <c r="B3" s="1743" t="s">
        <v>3103</v>
      </c>
      <c r="C3" s="1743" t="s">
        <v>3104</v>
      </c>
      <c r="D3" s="1743" t="s">
        <v>3105</v>
      </c>
      <c r="E3" s="1743" t="s">
        <v>3106</v>
      </c>
      <c r="F3" s="1743" t="s">
        <v>3247</v>
      </c>
      <c r="G3" s="1931"/>
      <c r="H3" s="59"/>
    </row>
    <row r="4" spans="1:8" ht="90.75" thickBot="1" x14ac:dyDescent="0.3">
      <c r="A4" s="1745" t="s">
        <v>3062</v>
      </c>
      <c r="B4" s="1746" t="s">
        <v>3107</v>
      </c>
      <c r="C4" s="1746" t="s">
        <v>3108</v>
      </c>
      <c r="D4" s="1746" t="s">
        <v>3105</v>
      </c>
      <c r="E4" s="1746" t="s">
        <v>3106</v>
      </c>
      <c r="F4" s="1746" t="s">
        <v>3109</v>
      </c>
    </row>
    <row r="5" spans="1:8" ht="105.75" thickBot="1" x14ac:dyDescent="0.3">
      <c r="A5" s="1745" t="s">
        <v>3110</v>
      </c>
      <c r="B5" s="1746" t="s">
        <v>3111</v>
      </c>
      <c r="C5" s="1746" t="s">
        <v>3112</v>
      </c>
      <c r="D5" s="1746" t="s">
        <v>3113</v>
      </c>
      <c r="E5" s="1746" t="s">
        <v>3114</v>
      </c>
      <c r="F5" s="1746" t="s">
        <v>3115</v>
      </c>
    </row>
    <row r="6" spans="1:8" ht="75.75" thickBot="1" x14ac:dyDescent="0.3">
      <c r="A6" s="1743" t="s">
        <v>3060</v>
      </c>
      <c r="B6" s="1744" t="s">
        <v>3116</v>
      </c>
      <c r="C6" s="1744" t="s">
        <v>3117</v>
      </c>
      <c r="D6" s="1743" t="s">
        <v>3118</v>
      </c>
      <c r="E6" s="1744" t="s">
        <v>3119</v>
      </c>
      <c r="F6" s="1743" t="s">
        <v>3120</v>
      </c>
    </row>
    <row r="7" spans="1:8" x14ac:dyDescent="0.25">
      <c r="A7" s="41"/>
    </row>
    <row r="8" spans="1:8" ht="389.25" customHeight="1" x14ac:dyDescent="0.25">
      <c r="A8" s="1747" t="s">
        <v>3121</v>
      </c>
      <c r="B8" s="1747"/>
      <c r="C8" s="1747"/>
      <c r="D8" s="1747"/>
      <c r="E8" s="1747"/>
      <c r="F8" s="1748"/>
    </row>
    <row r="9" spans="1:8" ht="192" customHeight="1" x14ac:dyDescent="0.25">
      <c r="A9" s="1747" t="s">
        <v>3122</v>
      </c>
      <c r="B9" s="1749"/>
      <c r="C9" s="1749"/>
      <c r="D9" s="1749"/>
      <c r="E9" s="1749"/>
      <c r="F9" s="1750" t="s">
        <v>3123</v>
      </c>
    </row>
    <row r="10" spans="1:8" ht="233.25" customHeight="1" x14ac:dyDescent="0.25">
      <c r="A10" s="1747" t="s">
        <v>3124</v>
      </c>
      <c r="B10" s="1749"/>
      <c r="C10" s="1749"/>
      <c r="D10" s="1749"/>
      <c r="E10" s="1749"/>
      <c r="F10" s="1751" t="s">
        <v>3125</v>
      </c>
    </row>
    <row r="11" spans="1:8" ht="173.25" customHeight="1" x14ac:dyDescent="0.25">
      <c r="A11" s="1747" t="s">
        <v>3126</v>
      </c>
      <c r="B11" s="1749"/>
      <c r="C11" s="1749"/>
      <c r="D11" s="1749"/>
      <c r="E11" s="1749"/>
      <c r="F11" s="825" t="s">
        <v>3127</v>
      </c>
    </row>
    <row r="12" spans="1:8" ht="133.5" customHeight="1" x14ac:dyDescent="0.25">
      <c r="A12" s="1747" t="s">
        <v>3128</v>
      </c>
      <c r="B12" s="1749"/>
      <c r="C12" s="1749"/>
      <c r="D12" s="1749"/>
      <c r="E12" s="1749"/>
      <c r="F12" s="167"/>
    </row>
    <row r="13" spans="1:8" ht="170.25" customHeight="1" x14ac:dyDescent="0.25">
      <c r="A13" s="1747" t="s">
        <v>3129</v>
      </c>
      <c r="B13" s="1749"/>
      <c r="C13" s="1749"/>
      <c r="D13" s="1749"/>
      <c r="E13" s="1749"/>
      <c r="F13" s="167"/>
    </row>
    <row r="14" spans="1:8" ht="22.5" customHeight="1" x14ac:dyDescent="0.25">
      <c r="A14" s="1752" t="s">
        <v>3130</v>
      </c>
      <c r="B14" s="1752"/>
      <c r="C14" s="1752"/>
      <c r="D14" s="1752"/>
      <c r="E14" s="1752"/>
      <c r="F14" s="1752"/>
    </row>
    <row r="15" spans="1:8" ht="18" customHeight="1" x14ac:dyDescent="0.25">
      <c r="A15" s="1753" t="s">
        <v>3131</v>
      </c>
      <c r="B15" s="1753"/>
      <c r="C15" s="1753"/>
      <c r="D15" s="1753"/>
      <c r="E15" s="1753"/>
      <c r="F15" s="1753"/>
    </row>
    <row r="16" spans="1:8" ht="46.5" customHeight="1" x14ac:dyDescent="0.25">
      <c r="A16" s="1753" t="s">
        <v>3132</v>
      </c>
      <c r="B16" s="1753"/>
      <c r="C16" s="1753"/>
      <c r="D16" s="1753"/>
      <c r="E16" s="1753"/>
      <c r="F16" s="1753"/>
    </row>
    <row r="17" spans="1:6" ht="60" customHeight="1" x14ac:dyDescent="0.25">
      <c r="A17" s="1753" t="s">
        <v>3133</v>
      </c>
      <c r="B17" s="1753"/>
      <c r="C17" s="1753"/>
      <c r="D17" s="1753"/>
      <c r="E17" s="1753"/>
      <c r="F17" s="1753"/>
    </row>
  </sheetData>
  <mergeCells count="10">
    <mergeCell ref="A14:F14"/>
    <mergeCell ref="A15:F15"/>
    <mergeCell ref="A16:F16"/>
    <mergeCell ref="A17:F17"/>
    <mergeCell ref="A8:E8"/>
    <mergeCell ref="A9:E9"/>
    <mergeCell ref="A10:E10"/>
    <mergeCell ref="A11:E11"/>
    <mergeCell ref="A12:E12"/>
    <mergeCell ref="A13:E13"/>
  </mergeCells>
  <hyperlinks>
    <hyperlink ref="A2" location="_ftn1" display="_ftn1" xr:uid="{C34F387E-153D-4BD4-A008-69E86BFC6654}"/>
    <hyperlink ref="F2" location="_ftn2" display="_ftn2" xr:uid="{BD05A855-190F-4F3B-B5E9-D30C3601C7A4}"/>
  </hyperlinks>
  <pageMargins left="0.7" right="0.7" top="0.75" bottom="0.75" header="0.3" footer="0.3"/>
  <pageSetup scale="6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0EBD-DA31-4BB1-AE2C-8AC70606C72F}">
  <sheetPr>
    <pageSetUpPr fitToPage="1"/>
  </sheetPr>
  <dimension ref="A1:P61"/>
  <sheetViews>
    <sheetView zoomScale="80" zoomScaleNormal="80" workbookViewId="0">
      <selection activeCell="Q14" sqref="Q14"/>
    </sheetView>
  </sheetViews>
  <sheetFormatPr defaultRowHeight="15" x14ac:dyDescent="0.25"/>
  <cols>
    <col min="1" max="1" width="9.140625" style="879"/>
    <col min="2" max="2" width="49.140625" style="879" customWidth="1"/>
    <col min="3" max="3" width="14.28515625" style="1446" customWidth="1"/>
    <col min="4" max="4" width="10.28515625" style="1446" customWidth="1"/>
    <col min="5" max="5" width="13" style="1772" customWidth="1"/>
    <col min="6" max="6" width="14" style="1446" customWidth="1"/>
    <col min="7" max="8" width="9.140625" style="1446"/>
    <col min="9" max="9" width="10.42578125" style="1446" customWidth="1"/>
    <col min="10" max="10" width="10.7109375" style="1446" customWidth="1"/>
    <col min="11" max="12" width="11.140625" style="1446" customWidth="1"/>
    <col min="13" max="13" width="11" style="1446" customWidth="1"/>
    <col min="14" max="16384" width="9.140625" style="879"/>
  </cols>
  <sheetData>
    <row r="1" spans="1:13" ht="36.75" customHeight="1" thickBot="1" x14ac:dyDescent="0.3">
      <c r="A1" s="1754" t="s">
        <v>3134</v>
      </c>
      <c r="B1" s="1755"/>
      <c r="C1" s="1755"/>
      <c r="D1" s="1755"/>
      <c r="E1" s="1755"/>
      <c r="F1" s="1755"/>
      <c r="G1" s="1755"/>
      <c r="H1" s="1755"/>
      <c r="I1" s="1755"/>
      <c r="J1" s="1755"/>
      <c r="K1" s="1755"/>
      <c r="L1" s="1755"/>
      <c r="M1" s="1756"/>
    </row>
    <row r="2" spans="1:13" ht="74.25" customHeight="1" x14ac:dyDescent="0.25">
      <c r="A2" s="1757" t="s">
        <v>0</v>
      </c>
      <c r="B2" s="1758" t="s">
        <v>3135</v>
      </c>
      <c r="C2" s="1759" t="s">
        <v>3136</v>
      </c>
      <c r="D2" s="1757" t="s">
        <v>3137</v>
      </c>
      <c r="E2" s="1760" t="s">
        <v>3138</v>
      </c>
      <c r="F2" s="1757" t="s">
        <v>3139</v>
      </c>
      <c r="G2" s="1757" t="s">
        <v>3140</v>
      </c>
      <c r="H2" s="1757" t="s">
        <v>3141</v>
      </c>
      <c r="I2" s="1757" t="s">
        <v>3142</v>
      </c>
      <c r="J2" s="1757" t="s">
        <v>3143</v>
      </c>
      <c r="K2" s="1761" t="s">
        <v>3144</v>
      </c>
      <c r="L2" s="1757" t="s">
        <v>3145</v>
      </c>
      <c r="M2" s="1757" t="s">
        <v>3146</v>
      </c>
    </row>
    <row r="3" spans="1:13" x14ac:dyDescent="0.25">
      <c r="A3" s="1762">
        <v>1431</v>
      </c>
      <c r="B3" s="1763" t="s">
        <v>18</v>
      </c>
      <c r="C3" s="1764">
        <v>13039.623780821899</v>
      </c>
      <c r="D3" s="649" t="s">
        <v>3062</v>
      </c>
      <c r="E3" s="497">
        <v>1.35</v>
      </c>
      <c r="F3" s="20">
        <v>0.02</v>
      </c>
      <c r="G3" s="1765">
        <f>+E3+F3-1</f>
        <v>0.37000000000000011</v>
      </c>
      <c r="H3" s="1765">
        <f>+G3/(E3+F3)</f>
        <v>0.27007299270072999</v>
      </c>
      <c r="I3" s="20">
        <v>150</v>
      </c>
      <c r="J3" s="1765">
        <f>+C3/I3</f>
        <v>86.930825205479323</v>
      </c>
      <c r="K3" s="1765">
        <f>+H3*J3</f>
        <v>23.47766812118785</v>
      </c>
      <c r="L3" s="1765">
        <f>+K3/200</f>
        <v>0.11738834060593925</v>
      </c>
      <c r="M3" s="20">
        <f>ROUND(L3,0)</f>
        <v>0</v>
      </c>
    </row>
    <row r="4" spans="1:13" x14ac:dyDescent="0.25">
      <c r="A4" s="1762">
        <v>1442</v>
      </c>
      <c r="B4" s="1763" t="s">
        <v>20</v>
      </c>
      <c r="C4" s="1764">
        <v>15060.620526315801</v>
      </c>
      <c r="D4" s="649" t="s">
        <v>3062</v>
      </c>
      <c r="E4" s="497">
        <v>1.08</v>
      </c>
      <c r="F4" s="20">
        <v>0.02</v>
      </c>
      <c r="G4" s="1765">
        <f t="shared" ref="G4:G38" si="0">+E4+F4-1</f>
        <v>0.10000000000000009</v>
      </c>
      <c r="H4" s="1765">
        <f t="shared" ref="H4:H38" si="1">+G4/(E4+F4)</f>
        <v>9.0909090909090981E-2</v>
      </c>
      <c r="I4" s="20">
        <v>150</v>
      </c>
      <c r="J4" s="1765">
        <f t="shared" ref="J4:J38" si="2">+C4/I4</f>
        <v>100.40413684210534</v>
      </c>
      <c r="K4" s="1765">
        <f t="shared" ref="K4:K38" si="3">+H4*J4</f>
        <v>9.1276488038277659</v>
      </c>
      <c r="L4" s="1765">
        <f t="shared" ref="L4:L38" si="4">+K4/200</f>
        <v>4.5638244019138831E-2</v>
      </c>
      <c r="M4" s="20">
        <f t="shared" ref="M4:M5" si="5">ROUND(L4,0)</f>
        <v>0</v>
      </c>
    </row>
    <row r="5" spans="1:13" x14ac:dyDescent="0.25">
      <c r="A5" s="1762">
        <v>1443</v>
      </c>
      <c r="B5" s="1763" t="s">
        <v>21</v>
      </c>
      <c r="C5" s="1764">
        <v>9219.12838081671</v>
      </c>
      <c r="D5" s="649" t="s">
        <v>3060</v>
      </c>
      <c r="E5" s="497">
        <v>1.1200000000000001</v>
      </c>
      <c r="F5" s="20">
        <v>0.02</v>
      </c>
      <c r="G5" s="1765">
        <f t="shared" si="0"/>
        <v>0.14000000000000012</v>
      </c>
      <c r="H5" s="1765">
        <f t="shared" si="1"/>
        <v>0.12280701754385974</v>
      </c>
      <c r="I5" s="20">
        <v>150</v>
      </c>
      <c r="J5" s="1765">
        <f t="shared" si="2"/>
        <v>61.460855872111402</v>
      </c>
      <c r="K5" s="1765">
        <f t="shared" si="3"/>
        <v>7.5478244053470203</v>
      </c>
      <c r="L5" s="1765">
        <f t="shared" si="4"/>
        <v>3.77391220267351E-2</v>
      </c>
      <c r="M5" s="20">
        <f t="shared" si="5"/>
        <v>0</v>
      </c>
    </row>
    <row r="6" spans="1:13" x14ac:dyDescent="0.25">
      <c r="A6" s="1762">
        <v>1446</v>
      </c>
      <c r="B6" s="1763" t="s">
        <v>22</v>
      </c>
      <c r="C6" s="1764">
        <v>13491.7115692308</v>
      </c>
      <c r="D6" s="649" t="s">
        <v>3147</v>
      </c>
      <c r="E6" s="1766">
        <v>1.62</v>
      </c>
      <c r="F6" s="20">
        <v>7.0000000000000007E-2</v>
      </c>
      <c r="G6" s="1765">
        <f t="shared" si="0"/>
        <v>0.69000000000000017</v>
      </c>
      <c r="H6" s="1765">
        <f t="shared" si="1"/>
        <v>0.40828402366863914</v>
      </c>
      <c r="I6" s="20">
        <f>VLOOKUP(D6,'[3]IBC Pers per Occ'!$A$2:$B$9,2,FALSE)</f>
        <v>120</v>
      </c>
      <c r="J6" s="1765">
        <f t="shared" si="2"/>
        <v>112.43092974359</v>
      </c>
      <c r="K6" s="1765">
        <f t="shared" si="3"/>
        <v>45.903752380519002</v>
      </c>
      <c r="L6" s="1765">
        <f t="shared" si="4"/>
        <v>0.22951876190259501</v>
      </c>
      <c r="M6" s="20">
        <v>1</v>
      </c>
    </row>
    <row r="7" spans="1:13" x14ac:dyDescent="0.25">
      <c r="A7" s="1762">
        <v>2112</v>
      </c>
      <c r="B7" s="1763" t="s">
        <v>78</v>
      </c>
      <c r="C7" s="1764">
        <v>16621.7840961857</v>
      </c>
      <c r="D7" s="649" t="s">
        <v>3148</v>
      </c>
      <c r="E7" s="497">
        <v>1.2</v>
      </c>
      <c r="F7" s="20">
        <v>0.03</v>
      </c>
      <c r="G7" s="1765">
        <f t="shared" si="0"/>
        <v>0.22999999999999998</v>
      </c>
      <c r="H7" s="1765">
        <f t="shared" si="1"/>
        <v>0.18699186991869918</v>
      </c>
      <c r="I7" s="20">
        <f>VLOOKUP(D7,'[3]IBC Pers per Occ'!$A$2:$B$9,2,FALSE)</f>
        <v>100</v>
      </c>
      <c r="J7" s="1765">
        <f t="shared" si="2"/>
        <v>166.21784096185701</v>
      </c>
      <c r="K7" s="1765">
        <f t="shared" si="3"/>
        <v>31.081384895306595</v>
      </c>
      <c r="L7" s="1765">
        <f t="shared" si="4"/>
        <v>0.15540692447653298</v>
      </c>
      <c r="M7" s="20">
        <f t="shared" ref="M7:M38" si="6">ROUND(L7,0)</f>
        <v>0</v>
      </c>
    </row>
    <row r="8" spans="1:13" x14ac:dyDescent="0.25">
      <c r="A8" s="1762">
        <v>2121</v>
      </c>
      <c r="B8" s="1763" t="s">
        <v>79</v>
      </c>
      <c r="C8" s="1764">
        <v>13511.524509803899</v>
      </c>
      <c r="D8" s="649" t="s">
        <v>3148</v>
      </c>
      <c r="E8" s="497">
        <v>1.2</v>
      </c>
      <c r="F8" s="20">
        <v>0.06</v>
      </c>
      <c r="G8" s="1765">
        <f t="shared" si="0"/>
        <v>0.26</v>
      </c>
      <c r="H8" s="1765">
        <f t="shared" si="1"/>
        <v>0.20634920634920637</v>
      </c>
      <c r="I8" s="20">
        <f>VLOOKUP(D8,'[3]IBC Pers per Occ'!$A$2:$B$9,2,FALSE)</f>
        <v>100</v>
      </c>
      <c r="J8" s="1765">
        <f t="shared" si="2"/>
        <v>135.115245098039</v>
      </c>
      <c r="K8" s="1765">
        <f t="shared" si="3"/>
        <v>27.880923591658842</v>
      </c>
      <c r="L8" s="1765">
        <f t="shared" si="4"/>
        <v>0.1394046179582942</v>
      </c>
      <c r="M8" s="20">
        <f t="shared" si="6"/>
        <v>0</v>
      </c>
    </row>
    <row r="9" spans="1:13" x14ac:dyDescent="0.25">
      <c r="A9" s="1762">
        <v>2123</v>
      </c>
      <c r="B9" s="1763" t="s">
        <v>80</v>
      </c>
      <c r="C9" s="1764">
        <v>12459.7692307692</v>
      </c>
      <c r="D9" s="649" t="s">
        <v>3148</v>
      </c>
      <c r="E9" s="497">
        <v>1.05</v>
      </c>
      <c r="F9" s="751">
        <v>0</v>
      </c>
      <c r="G9" s="1765">
        <f t="shared" si="0"/>
        <v>5.0000000000000044E-2</v>
      </c>
      <c r="H9" s="1765">
        <f t="shared" si="1"/>
        <v>4.7619047619047658E-2</v>
      </c>
      <c r="I9" s="20">
        <f>VLOOKUP(D9,'[3]IBC Pers per Occ'!$A$2:$B$9,2,FALSE)</f>
        <v>100</v>
      </c>
      <c r="J9" s="1765">
        <f t="shared" si="2"/>
        <v>124.597692307692</v>
      </c>
      <c r="K9" s="1765">
        <f t="shared" si="3"/>
        <v>5.9332234432234339</v>
      </c>
      <c r="L9" s="1765">
        <f t="shared" si="4"/>
        <v>2.9666117216117168E-2</v>
      </c>
      <c r="M9" s="20">
        <f t="shared" si="6"/>
        <v>0</v>
      </c>
    </row>
    <row r="10" spans="1:13" x14ac:dyDescent="0.25">
      <c r="A10" s="1762">
        <v>2134</v>
      </c>
      <c r="B10" s="1763" t="s">
        <v>84</v>
      </c>
      <c r="C10" s="1764">
        <v>24702.294502617799</v>
      </c>
      <c r="D10" s="649" t="s">
        <v>3148</v>
      </c>
      <c r="E10" s="497">
        <v>2.2000000000000002</v>
      </c>
      <c r="F10" s="751">
        <v>0.18</v>
      </c>
      <c r="G10" s="1765">
        <f t="shared" si="0"/>
        <v>1.3800000000000003</v>
      </c>
      <c r="H10" s="1765">
        <f t="shared" si="1"/>
        <v>0.57983193277310929</v>
      </c>
      <c r="I10" s="20">
        <f>VLOOKUP(D10,'[3]IBC Pers per Occ'!$A$2:$B$9,2,FALSE)</f>
        <v>100</v>
      </c>
      <c r="J10" s="1765">
        <f t="shared" si="2"/>
        <v>247.02294502617798</v>
      </c>
      <c r="K10" s="1765">
        <f t="shared" si="3"/>
        <v>143.23179165383431</v>
      </c>
      <c r="L10" s="1765">
        <f t="shared" si="4"/>
        <v>0.71615895826917153</v>
      </c>
      <c r="M10" s="20">
        <v>1</v>
      </c>
    </row>
    <row r="11" spans="1:13" x14ac:dyDescent="0.25">
      <c r="A11" s="1762">
        <v>2152</v>
      </c>
      <c r="B11" s="1763" t="s">
        <v>85</v>
      </c>
      <c r="C11" s="1764">
        <v>15662.349206349199</v>
      </c>
      <c r="D11" s="649" t="s">
        <v>3148</v>
      </c>
      <c r="E11" s="497">
        <v>1.02</v>
      </c>
      <c r="F11" s="751">
        <v>0.05</v>
      </c>
      <c r="G11" s="1765">
        <f t="shared" si="0"/>
        <v>7.0000000000000062E-2</v>
      </c>
      <c r="H11" s="1765">
        <f t="shared" si="1"/>
        <v>6.54205607476636E-2</v>
      </c>
      <c r="I11" s="20">
        <f>VLOOKUP(D11,'[3]IBC Pers per Occ'!$A$2:$B$9,2,FALSE)</f>
        <v>100</v>
      </c>
      <c r="J11" s="1765">
        <f t="shared" si="2"/>
        <v>156.62349206349199</v>
      </c>
      <c r="K11" s="1765">
        <f t="shared" si="3"/>
        <v>10.246396677050885</v>
      </c>
      <c r="L11" s="1765">
        <f t="shared" si="4"/>
        <v>5.1231983385254427E-2</v>
      </c>
      <c r="M11" s="20">
        <f t="shared" si="6"/>
        <v>0</v>
      </c>
    </row>
    <row r="12" spans="1:13" x14ac:dyDescent="0.25">
      <c r="A12" s="1762">
        <v>2162</v>
      </c>
      <c r="B12" s="1763" t="s">
        <v>88</v>
      </c>
      <c r="C12" s="1764">
        <v>5706.4613809990196</v>
      </c>
      <c r="D12" s="649" t="s">
        <v>3148</v>
      </c>
      <c r="E12" s="497">
        <v>1.02</v>
      </c>
      <c r="F12" s="751">
        <v>0.01</v>
      </c>
      <c r="G12" s="1765">
        <f t="shared" si="0"/>
        <v>3.0000000000000027E-2</v>
      </c>
      <c r="H12" s="1765">
        <f t="shared" si="1"/>
        <v>2.9126213592233035E-2</v>
      </c>
      <c r="I12" s="20">
        <f>VLOOKUP(D12,'[3]IBC Pers per Occ'!$A$2:$B$9,2,FALSE)</f>
        <v>100</v>
      </c>
      <c r="J12" s="1765">
        <f t="shared" si="2"/>
        <v>57.064613809990199</v>
      </c>
      <c r="K12" s="1765">
        <f t="shared" si="3"/>
        <v>1.6620761303880656</v>
      </c>
      <c r="L12" s="1765">
        <f t="shared" si="4"/>
        <v>8.3103806519403273E-3</v>
      </c>
      <c r="M12" s="20">
        <f t="shared" si="6"/>
        <v>0</v>
      </c>
    </row>
    <row r="13" spans="1:13" x14ac:dyDescent="0.25">
      <c r="A13" s="1762">
        <v>2191</v>
      </c>
      <c r="B13" s="1763" t="s">
        <v>91</v>
      </c>
      <c r="C13" s="1764">
        <v>6903.0371345029198</v>
      </c>
      <c r="D13" s="649" t="s">
        <v>3148</v>
      </c>
      <c r="E13" s="497">
        <v>1.0900000000000001</v>
      </c>
      <c r="F13" s="751">
        <v>0.01</v>
      </c>
      <c r="G13" s="1765">
        <f t="shared" si="0"/>
        <v>0.10000000000000009</v>
      </c>
      <c r="H13" s="1765">
        <f t="shared" si="1"/>
        <v>9.0909090909090981E-2</v>
      </c>
      <c r="I13" s="20">
        <f>VLOOKUP(D13,'[3]IBC Pers per Occ'!$A$2:$B$9,2,FALSE)</f>
        <v>100</v>
      </c>
      <c r="J13" s="1765">
        <f t="shared" si="2"/>
        <v>69.030371345029195</v>
      </c>
      <c r="K13" s="1765">
        <f t="shared" si="3"/>
        <v>6.2754883040935683</v>
      </c>
      <c r="L13" s="1765">
        <f t="shared" si="4"/>
        <v>3.1377441520467841E-2</v>
      </c>
      <c r="M13" s="20">
        <f t="shared" si="6"/>
        <v>0</v>
      </c>
    </row>
    <row r="14" spans="1:13" x14ac:dyDescent="0.25">
      <c r="A14" s="1762">
        <v>2211</v>
      </c>
      <c r="B14" s="1763" t="s">
        <v>93</v>
      </c>
      <c r="C14" s="1764">
        <v>102284.6171875</v>
      </c>
      <c r="D14" s="649" t="s">
        <v>3148</v>
      </c>
      <c r="E14" s="497">
        <v>1.1200000000000001</v>
      </c>
      <c r="F14" s="751">
        <v>0.02</v>
      </c>
      <c r="G14" s="1765">
        <f t="shared" si="0"/>
        <v>0.14000000000000012</v>
      </c>
      <c r="H14" s="1765">
        <f t="shared" si="1"/>
        <v>0.12280701754385974</v>
      </c>
      <c r="I14" s="20">
        <f>VLOOKUP(D14,'[3]IBC Pers per Occ'!$A$2:$B$9,2,FALSE)</f>
        <v>100</v>
      </c>
      <c r="J14" s="1765">
        <f t="shared" si="2"/>
        <v>1022.846171875</v>
      </c>
      <c r="K14" s="1765">
        <f t="shared" si="3"/>
        <v>125.6126877741229</v>
      </c>
      <c r="L14" s="1765">
        <f t="shared" si="4"/>
        <v>0.62806343887061455</v>
      </c>
      <c r="M14" s="20">
        <f t="shared" si="6"/>
        <v>1</v>
      </c>
    </row>
    <row r="15" spans="1:13" x14ac:dyDescent="0.25">
      <c r="A15" s="1762">
        <v>3101</v>
      </c>
      <c r="B15" s="1763" t="s">
        <v>105</v>
      </c>
      <c r="C15" s="1764">
        <v>18482.816999999999</v>
      </c>
      <c r="D15" s="649" t="s">
        <v>3062</v>
      </c>
      <c r="E15" s="1767">
        <v>1.53</v>
      </c>
      <c r="F15" s="751">
        <v>0.09</v>
      </c>
      <c r="G15" s="1765">
        <f t="shared" si="0"/>
        <v>0.62000000000000011</v>
      </c>
      <c r="H15" s="1765">
        <f t="shared" si="1"/>
        <v>0.38271604938271608</v>
      </c>
      <c r="I15" s="20">
        <v>150</v>
      </c>
      <c r="J15" s="1765">
        <f t="shared" si="2"/>
        <v>123.21878</v>
      </c>
      <c r="K15" s="1765">
        <f t="shared" si="3"/>
        <v>47.157804691358024</v>
      </c>
      <c r="L15" s="1765">
        <f t="shared" si="4"/>
        <v>0.23578902345679012</v>
      </c>
      <c r="M15" s="20">
        <v>1</v>
      </c>
    </row>
    <row r="16" spans="1:13" x14ac:dyDescent="0.25">
      <c r="A16" s="1762">
        <v>3102</v>
      </c>
      <c r="B16" s="1763" t="s">
        <v>106</v>
      </c>
      <c r="C16" s="1764">
        <v>43324.951792452797</v>
      </c>
      <c r="D16" s="649" t="s">
        <v>3062</v>
      </c>
      <c r="E16" s="497">
        <v>2.2400000000000002</v>
      </c>
      <c r="F16" s="751">
        <v>0.33</v>
      </c>
      <c r="G16" s="1765">
        <f t="shared" si="0"/>
        <v>1.5700000000000003</v>
      </c>
      <c r="H16" s="1765">
        <f t="shared" si="1"/>
        <v>0.6108949416342413</v>
      </c>
      <c r="I16" s="20">
        <v>150</v>
      </c>
      <c r="J16" s="1765">
        <f t="shared" si="2"/>
        <v>288.83301194968533</v>
      </c>
      <c r="K16" s="1765">
        <f t="shared" si="3"/>
        <v>176.44662597704513</v>
      </c>
      <c r="L16" s="1765">
        <f t="shared" si="4"/>
        <v>0.88223312988522562</v>
      </c>
      <c r="M16" s="20">
        <f t="shared" si="6"/>
        <v>1</v>
      </c>
    </row>
    <row r="17" spans="1:13" x14ac:dyDescent="0.25">
      <c r="A17" s="1762">
        <v>3131</v>
      </c>
      <c r="B17" s="1763" t="s">
        <v>109</v>
      </c>
      <c r="C17" s="1764">
        <v>31697.084905660398</v>
      </c>
      <c r="D17" s="649" t="s">
        <v>3148</v>
      </c>
      <c r="E17" s="497">
        <v>1.62</v>
      </c>
      <c r="F17" s="751">
        <v>0.25</v>
      </c>
      <c r="G17" s="1765">
        <f t="shared" si="0"/>
        <v>0.87000000000000011</v>
      </c>
      <c r="H17" s="1765">
        <f t="shared" si="1"/>
        <v>0.46524064171122997</v>
      </c>
      <c r="I17" s="20">
        <f>VLOOKUP(D17,'[3]IBC Pers per Occ'!$A$2:$B$9,2,FALSE)</f>
        <v>100</v>
      </c>
      <c r="J17" s="1765">
        <f t="shared" si="2"/>
        <v>316.97084905660398</v>
      </c>
      <c r="K17" s="1765">
        <f t="shared" si="3"/>
        <v>147.46772121884786</v>
      </c>
      <c r="L17" s="1765">
        <f t="shared" si="4"/>
        <v>0.73733860609423929</v>
      </c>
      <c r="M17" s="20">
        <v>1</v>
      </c>
    </row>
    <row r="18" spans="1:13" x14ac:dyDescent="0.25">
      <c r="A18" s="1762">
        <v>3151</v>
      </c>
      <c r="B18" s="1763" t="s">
        <v>111</v>
      </c>
      <c r="C18" s="1764">
        <v>12025.8113574661</v>
      </c>
      <c r="D18" s="649" t="s">
        <v>3148</v>
      </c>
      <c r="E18" s="497">
        <v>1.49</v>
      </c>
      <c r="F18" s="751">
        <v>0.03</v>
      </c>
      <c r="G18" s="1765">
        <f t="shared" si="0"/>
        <v>0.52</v>
      </c>
      <c r="H18" s="1765">
        <f t="shared" si="1"/>
        <v>0.34210526315789475</v>
      </c>
      <c r="I18" s="20">
        <f>VLOOKUP(D18,'[3]IBC Pers per Occ'!$A$2:$B$9,2,FALSE)</f>
        <v>100</v>
      </c>
      <c r="J18" s="1765">
        <f t="shared" si="2"/>
        <v>120.258113574661</v>
      </c>
      <c r="K18" s="1765">
        <f t="shared" si="3"/>
        <v>41.140933591331397</v>
      </c>
      <c r="L18" s="1765">
        <f t="shared" si="4"/>
        <v>0.20570466795665698</v>
      </c>
      <c r="M18" s="20">
        <f t="shared" si="6"/>
        <v>0</v>
      </c>
    </row>
    <row r="19" spans="1:13" x14ac:dyDescent="0.25">
      <c r="A19" s="1762">
        <v>3161</v>
      </c>
      <c r="B19" s="1763" t="s">
        <v>112</v>
      </c>
      <c r="C19" s="1764">
        <v>3557.2614937759299</v>
      </c>
      <c r="D19" s="649" t="s">
        <v>3148</v>
      </c>
      <c r="E19" s="497">
        <v>1.17</v>
      </c>
      <c r="F19" s="751">
        <v>0.03</v>
      </c>
      <c r="G19" s="1765">
        <f t="shared" si="0"/>
        <v>0.19999999999999996</v>
      </c>
      <c r="H19" s="1765">
        <f t="shared" si="1"/>
        <v>0.16666666666666663</v>
      </c>
      <c r="I19" s="20">
        <f>VLOOKUP(D19,'[3]IBC Pers per Occ'!$A$2:$B$9,2,FALSE)</f>
        <v>100</v>
      </c>
      <c r="J19" s="1765">
        <f t="shared" si="2"/>
        <v>35.572614937759298</v>
      </c>
      <c r="K19" s="1765">
        <f t="shared" si="3"/>
        <v>5.9287691562932148</v>
      </c>
      <c r="L19" s="1765">
        <f t="shared" si="4"/>
        <v>2.9643845781466074E-2</v>
      </c>
      <c r="M19" s="20">
        <f t="shared" si="6"/>
        <v>0</v>
      </c>
    </row>
    <row r="20" spans="1:13" x14ac:dyDescent="0.25">
      <c r="A20" s="1762">
        <v>3171</v>
      </c>
      <c r="B20" s="1763" t="s">
        <v>113</v>
      </c>
      <c r="C20" s="1764">
        <v>13047.054458917801</v>
      </c>
      <c r="D20" s="649" t="s">
        <v>3148</v>
      </c>
      <c r="E20" s="497">
        <v>1.39</v>
      </c>
      <c r="F20" s="751">
        <v>0.05</v>
      </c>
      <c r="G20" s="1765">
        <f t="shared" si="0"/>
        <v>0.43999999999999995</v>
      </c>
      <c r="H20" s="1765">
        <f t="shared" si="1"/>
        <v>0.30555555555555552</v>
      </c>
      <c r="I20" s="20">
        <f>VLOOKUP(D20,'[3]IBC Pers per Occ'!$A$2:$B$9,2,FALSE)</f>
        <v>100</v>
      </c>
      <c r="J20" s="1765">
        <f t="shared" si="2"/>
        <v>130.47054458917802</v>
      </c>
      <c r="K20" s="1765">
        <f t="shared" si="3"/>
        <v>39.865999735582172</v>
      </c>
      <c r="L20" s="1765">
        <f t="shared" si="4"/>
        <v>0.19932999867791085</v>
      </c>
      <c r="M20" s="20">
        <f t="shared" si="6"/>
        <v>0</v>
      </c>
    </row>
    <row r="21" spans="1:13" x14ac:dyDescent="0.25">
      <c r="A21" s="1762">
        <v>3181</v>
      </c>
      <c r="B21" s="1763" t="s">
        <v>114</v>
      </c>
      <c r="C21" s="1764">
        <v>11407.130702247199</v>
      </c>
      <c r="D21" s="649" t="s">
        <v>3148</v>
      </c>
      <c r="E21" s="497">
        <v>1.28</v>
      </c>
      <c r="F21" s="751">
        <v>0.11</v>
      </c>
      <c r="G21" s="1765">
        <f t="shared" si="0"/>
        <v>0.39000000000000012</v>
      </c>
      <c r="H21" s="1765">
        <f t="shared" si="1"/>
        <v>0.28057553956834541</v>
      </c>
      <c r="I21" s="20">
        <f>VLOOKUP(D21,'[3]IBC Pers per Occ'!$A$2:$B$9,2,FALSE)</f>
        <v>100</v>
      </c>
      <c r="J21" s="1765">
        <f t="shared" si="2"/>
        <v>114.071307022472</v>
      </c>
      <c r="K21" s="1765">
        <f t="shared" si="3"/>
        <v>32.005618517096472</v>
      </c>
      <c r="L21" s="1765">
        <f t="shared" si="4"/>
        <v>0.16002809258548237</v>
      </c>
      <c r="M21" s="20">
        <f t="shared" si="6"/>
        <v>0</v>
      </c>
    </row>
    <row r="22" spans="1:13" x14ac:dyDescent="0.25">
      <c r="A22" s="1762">
        <v>3191</v>
      </c>
      <c r="B22" s="1763" t="s">
        <v>115</v>
      </c>
      <c r="C22" s="1764">
        <v>9410.7967650273204</v>
      </c>
      <c r="D22" s="649" t="s">
        <v>3148</v>
      </c>
      <c r="E22" s="497">
        <v>1.21</v>
      </c>
      <c r="F22" s="751">
        <v>0.04</v>
      </c>
      <c r="G22" s="1765">
        <f t="shared" si="0"/>
        <v>0.25</v>
      </c>
      <c r="H22" s="1765">
        <f t="shared" si="1"/>
        <v>0.2</v>
      </c>
      <c r="I22" s="20">
        <f>VLOOKUP(D22,'[3]IBC Pers per Occ'!$A$2:$B$9,2,FALSE)</f>
        <v>100</v>
      </c>
      <c r="J22" s="1765">
        <f t="shared" si="2"/>
        <v>94.10796765027321</v>
      </c>
      <c r="K22" s="1765">
        <f t="shared" si="3"/>
        <v>18.821593530054642</v>
      </c>
      <c r="L22" s="1765">
        <f t="shared" si="4"/>
        <v>9.4107967650273211E-2</v>
      </c>
      <c r="M22" s="20">
        <f t="shared" si="6"/>
        <v>0</v>
      </c>
    </row>
    <row r="23" spans="1:13" x14ac:dyDescent="0.25">
      <c r="A23" s="1762">
        <v>3201</v>
      </c>
      <c r="B23" s="1763" t="s">
        <v>116</v>
      </c>
      <c r="C23" s="1764">
        <v>12778.6111111111</v>
      </c>
      <c r="D23" s="649" t="s">
        <v>3148</v>
      </c>
      <c r="E23" s="497">
        <v>1.79</v>
      </c>
      <c r="F23" s="751">
        <v>0.1</v>
      </c>
      <c r="G23" s="1765">
        <f t="shared" si="0"/>
        <v>0.89000000000000012</v>
      </c>
      <c r="H23" s="1765">
        <f t="shared" si="1"/>
        <v>0.47089947089947093</v>
      </c>
      <c r="I23" s="20">
        <f>VLOOKUP(D23,'[3]IBC Pers per Occ'!$A$2:$B$9,2,FALSE)</f>
        <v>100</v>
      </c>
      <c r="J23" s="1765">
        <f t="shared" si="2"/>
        <v>127.786111111111</v>
      </c>
      <c r="K23" s="1765">
        <f t="shared" si="3"/>
        <v>60.174412110523171</v>
      </c>
      <c r="L23" s="1765">
        <f t="shared" si="4"/>
        <v>0.30087206055261584</v>
      </c>
      <c r="M23" s="20">
        <v>1</v>
      </c>
    </row>
    <row r="24" spans="1:13" x14ac:dyDescent="0.25">
      <c r="A24" s="1762">
        <v>4414</v>
      </c>
      <c r="B24" s="1763" t="s">
        <v>124</v>
      </c>
      <c r="C24" s="1764">
        <v>25014.570793650801</v>
      </c>
      <c r="D24" s="649" t="s">
        <v>3149</v>
      </c>
      <c r="E24" s="497">
        <v>1.17</v>
      </c>
      <c r="F24" s="751">
        <v>0.02</v>
      </c>
      <c r="G24" s="1765">
        <f t="shared" si="0"/>
        <v>0.18999999999999995</v>
      </c>
      <c r="H24" s="1765">
        <f t="shared" si="1"/>
        <v>0.15966386554621845</v>
      </c>
      <c r="I24" s="20">
        <f>VLOOKUP(D24,'[3]IBC Pers per Occ'!$A$2:$B$9,2,FALSE)</f>
        <v>500</v>
      </c>
      <c r="J24" s="1765">
        <f t="shared" si="2"/>
        <v>50.029141587301602</v>
      </c>
      <c r="K24" s="1765">
        <f t="shared" si="3"/>
        <v>7.9878461357876489</v>
      </c>
      <c r="L24" s="1765">
        <f t="shared" si="4"/>
        <v>3.9939230678938245E-2</v>
      </c>
      <c r="M24" s="20">
        <f t="shared" si="6"/>
        <v>0</v>
      </c>
    </row>
    <row r="25" spans="1:13" x14ac:dyDescent="0.25">
      <c r="A25" s="1762">
        <v>4424</v>
      </c>
      <c r="B25" s="1763" t="s">
        <v>125</v>
      </c>
      <c r="C25" s="1764">
        <v>22643.526843657801</v>
      </c>
      <c r="D25" s="649" t="s">
        <v>3149</v>
      </c>
      <c r="E25" s="497">
        <v>1.04</v>
      </c>
      <c r="F25" s="751">
        <v>0.01</v>
      </c>
      <c r="G25" s="1765">
        <f t="shared" si="0"/>
        <v>5.0000000000000044E-2</v>
      </c>
      <c r="H25" s="1765">
        <f t="shared" si="1"/>
        <v>4.7619047619047658E-2</v>
      </c>
      <c r="I25" s="20">
        <f>VLOOKUP(D25,'[3]IBC Pers per Occ'!$A$2:$B$9,2,FALSE)</f>
        <v>500</v>
      </c>
      <c r="J25" s="1765">
        <f t="shared" si="2"/>
        <v>45.287053687315598</v>
      </c>
      <c r="K25" s="1765">
        <f t="shared" si="3"/>
        <v>2.1565263660626495</v>
      </c>
      <c r="L25" s="1765">
        <f t="shared" si="4"/>
        <v>1.0782631830313248E-2</v>
      </c>
      <c r="M25" s="20">
        <f t="shared" si="6"/>
        <v>0</v>
      </c>
    </row>
    <row r="26" spans="1:13" x14ac:dyDescent="0.25">
      <c r="A26" s="1762">
        <v>5302</v>
      </c>
      <c r="B26" s="1763" t="s">
        <v>132</v>
      </c>
      <c r="C26" s="1764">
        <v>11518.641025641</v>
      </c>
      <c r="D26" s="20" t="s">
        <v>3062</v>
      </c>
      <c r="E26" s="497">
        <v>1.33</v>
      </c>
      <c r="F26" s="751">
        <v>0.02</v>
      </c>
      <c r="G26" s="1765">
        <f t="shared" si="0"/>
        <v>0.35000000000000009</v>
      </c>
      <c r="H26" s="1765">
        <f t="shared" si="1"/>
        <v>0.2592592592592593</v>
      </c>
      <c r="I26" s="20">
        <v>150</v>
      </c>
      <c r="J26" s="1765">
        <f t="shared" si="2"/>
        <v>76.790940170940004</v>
      </c>
      <c r="K26" s="1765">
        <f t="shared" si="3"/>
        <v>19.908762266540005</v>
      </c>
      <c r="L26" s="1765">
        <f t="shared" si="4"/>
        <v>9.954381133270003E-2</v>
      </c>
      <c r="M26" s="20">
        <v>1</v>
      </c>
    </row>
    <row r="27" spans="1:13" x14ac:dyDescent="0.25">
      <c r="A27" s="1762">
        <v>7215</v>
      </c>
      <c r="B27" s="1763" t="s">
        <v>146</v>
      </c>
      <c r="C27" s="1764">
        <v>78446.717948717996</v>
      </c>
      <c r="D27" s="20" t="s">
        <v>3150</v>
      </c>
      <c r="E27" s="497">
        <v>2.88</v>
      </c>
      <c r="F27" s="751">
        <v>0.23</v>
      </c>
      <c r="G27" s="1765">
        <f t="shared" si="0"/>
        <v>2.11</v>
      </c>
      <c r="H27" s="1765">
        <f t="shared" si="1"/>
        <v>0.67845659163987138</v>
      </c>
      <c r="I27" s="20">
        <v>100</v>
      </c>
      <c r="J27" s="1765">
        <f t="shared" si="2"/>
        <v>784.46717948717992</v>
      </c>
      <c r="K27" s="1765">
        <f t="shared" si="3"/>
        <v>532.22692884821527</v>
      </c>
      <c r="L27" s="1765">
        <f t="shared" si="4"/>
        <v>2.6611346442410762</v>
      </c>
      <c r="M27" s="20">
        <f t="shared" si="6"/>
        <v>3</v>
      </c>
    </row>
    <row r="28" spans="1:13" x14ac:dyDescent="0.25">
      <c r="A28" s="1762">
        <v>7231</v>
      </c>
      <c r="B28" s="1763" t="s">
        <v>147</v>
      </c>
      <c r="C28" s="1764">
        <v>3296.9913020833301</v>
      </c>
      <c r="D28" s="20" t="s">
        <v>3149</v>
      </c>
      <c r="E28" s="497">
        <v>1.1599999999999999</v>
      </c>
      <c r="F28" s="751">
        <v>0.02</v>
      </c>
      <c r="G28" s="1765">
        <f t="shared" si="0"/>
        <v>0.17999999999999994</v>
      </c>
      <c r="H28" s="1765">
        <f t="shared" si="1"/>
        <v>0.15254237288135589</v>
      </c>
      <c r="I28" s="20">
        <f>VLOOKUP(D28,'[3]IBC Pers per Occ'!$A$2:$B$9,2,FALSE)</f>
        <v>500</v>
      </c>
      <c r="J28" s="1765">
        <f t="shared" si="2"/>
        <v>6.5939826041666603</v>
      </c>
      <c r="K28" s="1765">
        <f t="shared" si="3"/>
        <v>1.0058617531779648</v>
      </c>
      <c r="L28" s="1765">
        <f t="shared" si="4"/>
        <v>5.0293087658898235E-3</v>
      </c>
      <c r="M28" s="20">
        <f t="shared" si="6"/>
        <v>0</v>
      </c>
    </row>
    <row r="29" spans="1:13" x14ac:dyDescent="0.25">
      <c r="A29" s="1762">
        <v>7312</v>
      </c>
      <c r="B29" s="1763" t="s">
        <v>155</v>
      </c>
      <c r="C29" s="1764">
        <v>15766.472972973001</v>
      </c>
      <c r="D29" s="20" t="s">
        <v>3147</v>
      </c>
      <c r="E29" s="497">
        <v>1.24</v>
      </c>
      <c r="F29" s="751">
        <v>0.02</v>
      </c>
      <c r="G29" s="1765">
        <f t="shared" si="0"/>
        <v>0.26</v>
      </c>
      <c r="H29" s="1765">
        <f t="shared" si="1"/>
        <v>0.20634920634920637</v>
      </c>
      <c r="I29" s="20">
        <f>VLOOKUP(D29,'[3]IBC Pers per Occ'!$A$2:$B$9,2,FALSE)</f>
        <v>120</v>
      </c>
      <c r="J29" s="1765">
        <f t="shared" si="2"/>
        <v>131.38727477477499</v>
      </c>
      <c r="K29" s="1765">
        <f t="shared" si="3"/>
        <v>27.111659874159923</v>
      </c>
      <c r="L29" s="1765">
        <f t="shared" si="4"/>
        <v>0.13555829937079961</v>
      </c>
      <c r="M29" s="20">
        <f t="shared" si="6"/>
        <v>0</v>
      </c>
    </row>
    <row r="30" spans="1:13" x14ac:dyDescent="0.25">
      <c r="A30" s="1762">
        <v>7313</v>
      </c>
      <c r="B30" s="1763" t="s">
        <v>156</v>
      </c>
      <c r="C30" s="1764">
        <v>7686.9913138686097</v>
      </c>
      <c r="D30" s="20" t="s">
        <v>3062</v>
      </c>
      <c r="E30" s="497">
        <v>1.21</v>
      </c>
      <c r="F30" s="751">
        <v>0.05</v>
      </c>
      <c r="G30" s="1765">
        <f t="shared" si="0"/>
        <v>0.26</v>
      </c>
      <c r="H30" s="1765">
        <f t="shared" si="1"/>
        <v>0.20634920634920637</v>
      </c>
      <c r="I30" s="20">
        <v>150</v>
      </c>
      <c r="J30" s="1765">
        <f t="shared" si="2"/>
        <v>51.246608759124065</v>
      </c>
      <c r="K30" s="1765">
        <f t="shared" si="3"/>
        <v>10.574697045533538</v>
      </c>
      <c r="L30" s="1765">
        <f t="shared" si="4"/>
        <v>5.2873485227667688E-2</v>
      </c>
      <c r="M30" s="20">
        <f t="shared" si="6"/>
        <v>0</v>
      </c>
    </row>
    <row r="31" spans="1:13" x14ac:dyDescent="0.25">
      <c r="A31" s="1762">
        <v>7331</v>
      </c>
      <c r="B31" s="1763" t="s">
        <v>161</v>
      </c>
      <c r="C31" s="1764">
        <v>7604.1570307167203</v>
      </c>
      <c r="D31" s="20" t="s">
        <v>3062</v>
      </c>
      <c r="E31" s="497">
        <v>1.18</v>
      </c>
      <c r="F31" s="751">
        <v>0.01</v>
      </c>
      <c r="G31" s="1765">
        <f t="shared" si="0"/>
        <v>0.18999999999999995</v>
      </c>
      <c r="H31" s="1765">
        <f t="shared" si="1"/>
        <v>0.15966386554621845</v>
      </c>
      <c r="I31" s="20">
        <v>150</v>
      </c>
      <c r="J31" s="1765">
        <f t="shared" si="2"/>
        <v>50.694380204778135</v>
      </c>
      <c r="K31" s="1765">
        <f t="shared" si="3"/>
        <v>8.0940607049645745</v>
      </c>
      <c r="L31" s="1765">
        <f t="shared" si="4"/>
        <v>4.0470303524822872E-2</v>
      </c>
      <c r="M31" s="20">
        <f t="shared" si="6"/>
        <v>0</v>
      </c>
    </row>
    <row r="32" spans="1:13" x14ac:dyDescent="0.25">
      <c r="A32" s="1762">
        <v>7333</v>
      </c>
      <c r="B32" s="1763" t="s">
        <v>162</v>
      </c>
      <c r="C32" s="1764">
        <v>18882.677956989199</v>
      </c>
      <c r="D32" s="20" t="s">
        <v>3102</v>
      </c>
      <c r="E32" s="497">
        <v>1.33</v>
      </c>
      <c r="F32" s="751">
        <v>7.0000000000000007E-2</v>
      </c>
      <c r="G32" s="1765">
        <f t="shared" si="0"/>
        <v>0.40000000000000013</v>
      </c>
      <c r="H32" s="1765">
        <f t="shared" si="1"/>
        <v>0.28571428571428581</v>
      </c>
      <c r="I32" s="20">
        <f>VLOOKUP(D32,'[3]IBC Pers per Occ'!$A$2:$B$9,2,FALSE)</f>
        <v>15</v>
      </c>
      <c r="J32" s="1765">
        <f t="shared" si="2"/>
        <v>1258.8451971326133</v>
      </c>
      <c r="K32" s="1765">
        <f t="shared" si="3"/>
        <v>359.67005632360394</v>
      </c>
      <c r="L32" s="1765">
        <f t="shared" si="4"/>
        <v>1.7983502816180197</v>
      </c>
      <c r="M32" s="20">
        <f t="shared" si="6"/>
        <v>2</v>
      </c>
    </row>
    <row r="33" spans="1:16" x14ac:dyDescent="0.25">
      <c r="A33" s="1762">
        <v>7346</v>
      </c>
      <c r="B33" s="1763" t="s">
        <v>168</v>
      </c>
      <c r="C33" s="1764">
        <v>27849.270547138</v>
      </c>
      <c r="D33" s="20" t="s">
        <v>3151</v>
      </c>
      <c r="E33" s="497">
        <v>1.23</v>
      </c>
      <c r="F33" s="751">
        <v>0.03</v>
      </c>
      <c r="G33" s="1765">
        <f t="shared" si="0"/>
        <v>0.26</v>
      </c>
      <c r="H33" s="1765">
        <f t="shared" si="1"/>
        <v>0.20634920634920637</v>
      </c>
      <c r="I33" s="20">
        <f>VLOOKUP(D33,'[3]IBC Pers per Occ'!$A$2:$B$9,2,FALSE)</f>
        <v>60</v>
      </c>
      <c r="J33" s="1765">
        <f t="shared" si="2"/>
        <v>464.15450911896664</v>
      </c>
      <c r="K33" s="1765">
        <f t="shared" si="3"/>
        <v>95.777914580104238</v>
      </c>
      <c r="L33" s="1765">
        <f t="shared" si="4"/>
        <v>0.4788895729005212</v>
      </c>
      <c r="M33" s="20">
        <f t="shared" si="6"/>
        <v>0</v>
      </c>
    </row>
    <row r="34" spans="1:16" x14ac:dyDescent="0.25">
      <c r="A34" s="1762">
        <v>7349</v>
      </c>
      <c r="B34" s="1763" t="s">
        <v>171</v>
      </c>
      <c r="C34" s="1764">
        <v>69088.119000000006</v>
      </c>
      <c r="D34" s="20" t="s">
        <v>3151</v>
      </c>
      <c r="E34" s="497">
        <f>VLOOKUP(A34,[3]Sheet3!$A$3:$G$206,7,FALSE)</f>
        <v>1.2184300341296928</v>
      </c>
      <c r="F34" s="751">
        <v>0.03</v>
      </c>
      <c r="G34" s="1765">
        <f t="shared" si="0"/>
        <v>0.24843003412969278</v>
      </c>
      <c r="H34" s="1765">
        <f t="shared" si="1"/>
        <v>0.19899395828207439</v>
      </c>
      <c r="I34" s="20">
        <f>VLOOKUP(D34,'[3]IBC Pers per Occ'!$A$2:$B$9,2,FALSE)</f>
        <v>60</v>
      </c>
      <c r="J34" s="1765">
        <f t="shared" si="2"/>
        <v>1151.46865</v>
      </c>
      <c r="K34" s="1765">
        <f t="shared" si="3"/>
        <v>229.13530450121652</v>
      </c>
      <c r="L34" s="1765">
        <f t="shared" si="4"/>
        <v>1.1456765225060825</v>
      </c>
      <c r="M34" s="20">
        <f t="shared" si="6"/>
        <v>1</v>
      </c>
    </row>
    <row r="35" spans="1:16" x14ac:dyDescent="0.25">
      <c r="A35" s="1762">
        <v>7351</v>
      </c>
      <c r="B35" s="1763" t="s">
        <v>172</v>
      </c>
      <c r="C35" s="1764">
        <v>19425.471265822802</v>
      </c>
      <c r="D35" s="20" t="s">
        <v>3152</v>
      </c>
      <c r="E35" s="497">
        <v>1.66</v>
      </c>
      <c r="F35" s="751">
        <v>0.1</v>
      </c>
      <c r="G35" s="1765">
        <f t="shared" si="0"/>
        <v>0.76</v>
      </c>
      <c r="H35" s="1765">
        <f t="shared" si="1"/>
        <v>0.43181818181818182</v>
      </c>
      <c r="I35" s="20">
        <f>VLOOKUP(D35,'[3]IBC Pers per Occ'!$A$2:$B$9,2,FALSE)</f>
        <v>20</v>
      </c>
      <c r="J35" s="1765">
        <f t="shared" si="2"/>
        <v>971.27356329114014</v>
      </c>
      <c r="K35" s="1765">
        <f t="shared" si="3"/>
        <v>419.41358414844689</v>
      </c>
      <c r="L35" s="1765">
        <f t="shared" si="4"/>
        <v>2.0970679207422345</v>
      </c>
      <c r="M35" s="20">
        <f t="shared" si="6"/>
        <v>2</v>
      </c>
    </row>
    <row r="36" spans="1:16" x14ac:dyDescent="0.25">
      <c r="A36" s="1762">
        <v>7362</v>
      </c>
      <c r="B36" s="1763" t="s">
        <v>174</v>
      </c>
      <c r="C36" s="1764">
        <v>6444.3763888888898</v>
      </c>
      <c r="D36" s="20" t="s">
        <v>3152</v>
      </c>
      <c r="E36" s="497">
        <v>1.18</v>
      </c>
      <c r="F36" s="751">
        <v>0.02</v>
      </c>
      <c r="G36" s="1765">
        <f t="shared" si="0"/>
        <v>0.19999999999999996</v>
      </c>
      <c r="H36" s="1765">
        <f t="shared" si="1"/>
        <v>0.16666666666666663</v>
      </c>
      <c r="I36" s="20">
        <f>VLOOKUP(D36,'[3]IBC Pers per Occ'!$A$2:$B$9,2,FALSE)</f>
        <v>20</v>
      </c>
      <c r="J36" s="1765">
        <f t="shared" si="2"/>
        <v>322.21881944444448</v>
      </c>
      <c r="K36" s="1765">
        <f t="shared" si="3"/>
        <v>53.703136574074065</v>
      </c>
      <c r="L36" s="1765">
        <f t="shared" si="4"/>
        <v>0.26851568287037031</v>
      </c>
      <c r="M36" s="20">
        <f t="shared" si="6"/>
        <v>0</v>
      </c>
    </row>
    <row r="37" spans="1:16" x14ac:dyDescent="0.25">
      <c r="A37" s="1762">
        <v>7417</v>
      </c>
      <c r="B37" s="1763" t="s">
        <v>187</v>
      </c>
      <c r="C37" s="1764">
        <v>10039.1977307367</v>
      </c>
      <c r="D37" s="20" t="s">
        <v>3102</v>
      </c>
      <c r="E37" s="497">
        <v>1.26</v>
      </c>
      <c r="F37" s="751">
        <v>7.0000000000000007E-2</v>
      </c>
      <c r="G37" s="1765">
        <f t="shared" si="0"/>
        <v>0.33000000000000007</v>
      </c>
      <c r="H37" s="1765">
        <f t="shared" si="1"/>
        <v>0.24812030075187974</v>
      </c>
      <c r="I37" s="20">
        <f>VLOOKUP(D37,'[3]IBC Pers per Occ'!$A$2:$B$9,2,FALSE)</f>
        <v>15</v>
      </c>
      <c r="J37" s="1765">
        <f t="shared" si="2"/>
        <v>669.27984871577996</v>
      </c>
      <c r="K37" s="1765">
        <f t="shared" si="3"/>
        <v>166.0619173505319</v>
      </c>
      <c r="L37" s="1765">
        <f t="shared" si="4"/>
        <v>0.83030958675265953</v>
      </c>
      <c r="M37" s="20">
        <f t="shared" si="6"/>
        <v>1</v>
      </c>
    </row>
    <row r="38" spans="1:16" x14ac:dyDescent="0.25">
      <c r="A38" s="1762">
        <v>8910</v>
      </c>
      <c r="B38" s="1763" t="s">
        <v>271</v>
      </c>
      <c r="C38" s="1764">
        <v>1351.9844454730601</v>
      </c>
      <c r="D38" s="20" t="s">
        <v>3147</v>
      </c>
      <c r="E38" s="497">
        <v>1.01</v>
      </c>
      <c r="F38" s="751">
        <v>0.03</v>
      </c>
      <c r="G38" s="1765">
        <f t="shared" si="0"/>
        <v>4.0000000000000036E-2</v>
      </c>
      <c r="H38" s="1765">
        <f t="shared" si="1"/>
        <v>3.8461538461538491E-2</v>
      </c>
      <c r="I38" s="20">
        <f>VLOOKUP(D38,'[3]IBC Pers per Occ'!$A$2:$B$9,2,FALSE)</f>
        <v>120</v>
      </c>
      <c r="J38" s="1765">
        <f t="shared" si="2"/>
        <v>11.266537045608834</v>
      </c>
      <c r="K38" s="1765">
        <f t="shared" si="3"/>
        <v>0.43332834790803237</v>
      </c>
      <c r="L38" s="1765">
        <f t="shared" si="4"/>
        <v>2.1666417395401617E-3</v>
      </c>
      <c r="M38" s="20">
        <f t="shared" si="6"/>
        <v>0</v>
      </c>
      <c r="P38" s="1446"/>
    </row>
    <row r="39" spans="1:16" x14ac:dyDescent="0.25">
      <c r="A39" s="1768"/>
      <c r="B39" s="1769"/>
      <c r="C39" s="1769"/>
      <c r="D39" s="1769"/>
      <c r="E39" s="1769"/>
      <c r="F39" s="1769"/>
      <c r="G39" s="1769"/>
      <c r="H39" s="1769"/>
      <c r="I39" s="1769"/>
      <c r="J39" s="1769"/>
      <c r="K39" s="1769"/>
      <c r="L39" s="1769"/>
      <c r="M39" s="1770"/>
      <c r="P39" s="1446"/>
    </row>
    <row r="40" spans="1:16" x14ac:dyDescent="0.25">
      <c r="A40" s="63" t="s">
        <v>3073</v>
      </c>
      <c r="B40" s="63"/>
      <c r="C40" s="61"/>
      <c r="D40" s="61"/>
      <c r="E40" s="817"/>
      <c r="F40" s="61"/>
      <c r="G40" s="61"/>
      <c r="H40" s="61"/>
      <c r="I40" s="61"/>
      <c r="J40" s="61"/>
      <c r="K40" s="61"/>
      <c r="L40" s="61"/>
      <c r="M40" s="61"/>
    </row>
    <row r="41" spans="1:16" x14ac:dyDescent="0.25">
      <c r="A41" s="61">
        <v>1</v>
      </c>
      <c r="B41" s="716" t="s">
        <v>3153</v>
      </c>
      <c r="C41" s="717"/>
      <c r="D41" s="717"/>
      <c r="E41" s="717"/>
      <c r="F41" s="717"/>
      <c r="G41" s="717"/>
      <c r="H41" s="717"/>
      <c r="I41" s="717"/>
      <c r="J41" s="717"/>
      <c r="K41" s="717"/>
      <c r="L41" s="717"/>
      <c r="M41" s="718"/>
    </row>
    <row r="42" spans="1:16" x14ac:dyDescent="0.25">
      <c r="A42" s="61">
        <v>2</v>
      </c>
      <c r="B42" s="716" t="s">
        <v>3154</v>
      </c>
      <c r="C42" s="717"/>
      <c r="D42" s="717"/>
      <c r="E42" s="717"/>
      <c r="F42" s="717"/>
      <c r="G42" s="717"/>
      <c r="H42" s="717"/>
      <c r="I42" s="717"/>
      <c r="J42" s="717"/>
      <c r="K42" s="717"/>
      <c r="L42" s="717"/>
      <c r="M42" s="718"/>
    </row>
    <row r="43" spans="1:16" x14ac:dyDescent="0.25">
      <c r="A43" s="61">
        <v>3</v>
      </c>
      <c r="B43" s="716" t="s">
        <v>3155</v>
      </c>
      <c r="C43" s="717"/>
      <c r="D43" s="717"/>
      <c r="E43" s="717"/>
      <c r="F43" s="717"/>
      <c r="G43" s="717"/>
      <c r="H43" s="717"/>
      <c r="I43" s="717"/>
      <c r="J43" s="717"/>
      <c r="K43" s="717"/>
      <c r="L43" s="717"/>
      <c r="M43" s="718"/>
    </row>
    <row r="44" spans="1:16" x14ac:dyDescent="0.25">
      <c r="A44" s="61">
        <v>4</v>
      </c>
      <c r="B44" s="716" t="s">
        <v>3156</v>
      </c>
      <c r="C44" s="717"/>
      <c r="D44" s="717"/>
      <c r="E44" s="717"/>
      <c r="F44" s="717"/>
      <c r="G44" s="717"/>
      <c r="H44" s="717"/>
      <c r="I44" s="717"/>
      <c r="J44" s="717"/>
      <c r="K44" s="717"/>
      <c r="L44" s="717"/>
      <c r="M44" s="718"/>
    </row>
    <row r="45" spans="1:16" x14ac:dyDescent="0.25">
      <c r="A45" s="61">
        <v>5</v>
      </c>
      <c r="B45" s="716" t="s">
        <v>3157</v>
      </c>
      <c r="C45" s="717"/>
      <c r="D45" s="717"/>
      <c r="E45" s="717"/>
      <c r="F45" s="717"/>
      <c r="G45" s="717"/>
      <c r="H45" s="717"/>
      <c r="I45" s="717"/>
      <c r="J45" s="717"/>
      <c r="K45" s="717"/>
      <c r="L45" s="717"/>
      <c r="M45" s="718"/>
    </row>
    <row r="46" spans="1:16" x14ac:dyDescent="0.25">
      <c r="A46" s="61">
        <v>6</v>
      </c>
      <c r="B46" s="716" t="s">
        <v>3158</v>
      </c>
      <c r="C46" s="717"/>
      <c r="D46" s="717"/>
      <c r="E46" s="717"/>
      <c r="F46" s="717"/>
      <c r="G46" s="717"/>
      <c r="H46" s="717"/>
      <c r="I46" s="717"/>
      <c r="J46" s="717"/>
      <c r="K46" s="717"/>
      <c r="L46" s="717"/>
      <c r="M46" s="718"/>
    </row>
    <row r="47" spans="1:16" x14ac:dyDescent="0.25">
      <c r="A47" s="63"/>
      <c r="B47" s="1771"/>
      <c r="C47" s="61"/>
      <c r="D47" s="61"/>
      <c r="E47" s="817"/>
      <c r="F47" s="61"/>
      <c r="G47" s="61"/>
      <c r="H47" s="61"/>
      <c r="I47" s="61"/>
      <c r="J47" s="61"/>
      <c r="K47" s="61"/>
      <c r="L47" s="61"/>
      <c r="M47" s="61"/>
    </row>
    <row r="48" spans="1:16" x14ac:dyDescent="0.25">
      <c r="A48" s="63"/>
      <c r="B48" s="1771"/>
      <c r="C48" s="61"/>
      <c r="D48" s="61"/>
      <c r="E48" s="817"/>
      <c r="F48" s="61"/>
      <c r="G48" s="61"/>
      <c r="H48" s="61"/>
      <c r="I48" s="61"/>
      <c r="J48" s="61"/>
      <c r="K48" s="61"/>
      <c r="L48" s="61"/>
      <c r="M48" s="61"/>
    </row>
    <row r="49" spans="1:13" x14ac:dyDescent="0.25">
      <c r="A49" s="63"/>
      <c r="B49" s="1771"/>
      <c r="C49" s="61"/>
      <c r="D49" s="61"/>
      <c r="E49" s="817"/>
      <c r="F49" s="61"/>
      <c r="G49" s="61"/>
      <c r="H49" s="61"/>
      <c r="I49" s="61"/>
      <c r="J49" s="61"/>
      <c r="K49" s="61"/>
      <c r="L49" s="61"/>
      <c r="M49" s="61"/>
    </row>
    <row r="50" spans="1:13" x14ac:dyDescent="0.25">
      <c r="A50" s="63"/>
      <c r="B50" s="1771"/>
      <c r="C50" s="61"/>
      <c r="D50" s="61"/>
      <c r="E50" s="817"/>
      <c r="F50" s="61"/>
      <c r="G50" s="61"/>
      <c r="H50" s="61"/>
      <c r="I50" s="61"/>
      <c r="J50" s="61"/>
      <c r="K50" s="61"/>
      <c r="L50" s="61"/>
      <c r="M50" s="61"/>
    </row>
    <row r="51" spans="1:13" x14ac:dyDescent="0.25">
      <c r="A51" s="63"/>
      <c r="B51" s="1771"/>
      <c r="C51" s="61"/>
      <c r="D51" s="61"/>
      <c r="E51" s="817"/>
      <c r="F51" s="61"/>
      <c r="G51" s="61"/>
      <c r="H51" s="61"/>
      <c r="I51" s="61"/>
      <c r="J51" s="61"/>
      <c r="K51" s="61"/>
      <c r="L51" s="61"/>
      <c r="M51" s="61"/>
    </row>
    <row r="52" spans="1:13" x14ac:dyDescent="0.25">
      <c r="A52" s="63"/>
      <c r="B52" s="1771"/>
      <c r="C52" s="61"/>
      <c r="D52" s="61"/>
      <c r="E52" s="817"/>
      <c r="F52" s="61"/>
      <c r="G52" s="61"/>
      <c r="H52" s="61"/>
      <c r="I52" s="61"/>
      <c r="J52" s="61"/>
      <c r="K52" s="61"/>
      <c r="L52" s="61"/>
      <c r="M52" s="61"/>
    </row>
    <row r="53" spans="1:13" x14ac:dyDescent="0.25">
      <c r="A53" s="63"/>
      <c r="B53" s="1771"/>
      <c r="C53" s="61"/>
      <c r="D53" s="61"/>
      <c r="E53" s="817"/>
      <c r="F53" s="61"/>
      <c r="G53" s="61"/>
      <c r="H53" s="61"/>
      <c r="I53" s="61"/>
      <c r="J53" s="61"/>
      <c r="K53" s="61"/>
      <c r="L53" s="61"/>
      <c r="M53" s="61"/>
    </row>
    <row r="54" spans="1:13" x14ac:dyDescent="0.25">
      <c r="A54" s="63"/>
      <c r="B54" s="1771"/>
      <c r="C54" s="61"/>
      <c r="D54" s="61"/>
      <c r="E54" s="817"/>
      <c r="F54" s="61"/>
      <c r="G54" s="61"/>
      <c r="H54" s="61"/>
      <c r="I54" s="61"/>
      <c r="J54" s="61"/>
      <c r="K54" s="61"/>
      <c r="L54" s="61"/>
      <c r="M54" s="61"/>
    </row>
    <row r="55" spans="1:13" x14ac:dyDescent="0.25">
      <c r="A55" s="63"/>
      <c r="B55" s="1771"/>
      <c r="C55" s="61"/>
      <c r="D55" s="61"/>
      <c r="E55" s="817"/>
      <c r="F55" s="61"/>
      <c r="G55" s="61"/>
      <c r="H55" s="61"/>
      <c r="I55" s="61"/>
      <c r="J55" s="61"/>
      <c r="K55" s="61"/>
      <c r="L55" s="61"/>
      <c r="M55" s="61"/>
    </row>
    <row r="56" spans="1:13" x14ac:dyDescent="0.25">
      <c r="A56" s="63"/>
      <c r="B56" s="1771"/>
      <c r="C56" s="61"/>
      <c r="D56" s="61"/>
      <c r="E56" s="817"/>
      <c r="F56" s="61"/>
      <c r="G56" s="61"/>
      <c r="H56" s="61"/>
      <c r="I56" s="61"/>
      <c r="J56" s="61"/>
      <c r="K56" s="61"/>
      <c r="L56" s="61"/>
      <c r="M56" s="61"/>
    </row>
    <row r="57" spans="1:13" x14ac:dyDescent="0.25">
      <c r="A57" s="63"/>
      <c r="B57" s="1771"/>
      <c r="C57" s="61"/>
      <c r="D57" s="61"/>
      <c r="E57" s="817"/>
      <c r="F57" s="61"/>
      <c r="G57" s="61"/>
      <c r="H57" s="61"/>
      <c r="I57" s="61"/>
      <c r="J57" s="61"/>
      <c r="K57" s="61"/>
      <c r="L57" s="61"/>
      <c r="M57" s="61"/>
    </row>
    <row r="58" spans="1:13" x14ac:dyDescent="0.25">
      <c r="A58" s="63"/>
      <c r="B58" s="1771"/>
      <c r="C58" s="61"/>
      <c r="D58" s="61"/>
      <c r="E58" s="817"/>
      <c r="F58" s="61"/>
      <c r="G58" s="61"/>
      <c r="H58" s="61"/>
      <c r="I58" s="61"/>
      <c r="J58" s="61"/>
      <c r="K58" s="61"/>
      <c r="L58" s="61"/>
      <c r="M58" s="61"/>
    </row>
    <row r="59" spans="1:13" x14ac:dyDescent="0.25">
      <c r="A59" s="63"/>
      <c r="B59" s="1771"/>
      <c r="C59" s="61"/>
      <c r="D59" s="61"/>
      <c r="E59" s="817"/>
      <c r="F59" s="61"/>
      <c r="G59" s="61"/>
      <c r="H59" s="61"/>
      <c r="I59" s="61"/>
      <c r="J59" s="61"/>
      <c r="K59" s="61"/>
      <c r="L59" s="61"/>
      <c r="M59" s="61"/>
    </row>
    <row r="60" spans="1:13" x14ac:dyDescent="0.25">
      <c r="A60" s="63"/>
      <c r="B60" s="1771"/>
      <c r="C60" s="61"/>
      <c r="D60" s="61"/>
      <c r="E60" s="817"/>
      <c r="F60" s="61"/>
      <c r="G60" s="61"/>
      <c r="H60" s="61"/>
      <c r="I60" s="61"/>
      <c r="J60" s="61"/>
      <c r="K60" s="61"/>
      <c r="L60" s="61"/>
      <c r="M60" s="61"/>
    </row>
    <row r="61" spans="1:13" x14ac:dyDescent="0.25">
      <c r="A61" s="63"/>
      <c r="B61" s="1771"/>
      <c r="C61" s="61"/>
      <c r="D61" s="61"/>
      <c r="E61" s="817"/>
      <c r="F61" s="61"/>
      <c r="G61" s="61"/>
      <c r="H61" s="61"/>
      <c r="I61" s="61"/>
      <c r="J61" s="61"/>
      <c r="K61" s="61"/>
      <c r="L61" s="61"/>
      <c r="M61" s="61"/>
    </row>
  </sheetData>
  <mergeCells count="8">
    <mergeCell ref="B45:M45"/>
    <mergeCell ref="B46:M46"/>
    <mergeCell ref="A1:M1"/>
    <mergeCell ref="A39:M39"/>
    <mergeCell ref="B41:M41"/>
    <mergeCell ref="B42:M42"/>
    <mergeCell ref="B43:M43"/>
    <mergeCell ref="B44:M44"/>
  </mergeCells>
  <conditionalFormatting sqref="E3:E38">
    <cfRule type="cellIs" dxfId="0" priority="1" operator="greaterThan">
      <formula>1.5</formula>
    </cfRule>
  </conditionalFormatting>
  <pageMargins left="0.7" right="0.7" top="0.75" bottom="0.75" header="0.3" footer="0.3"/>
  <pageSetup scale="6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DAE5D-BC2A-4B9F-A980-1E40D3B00F72}">
  <sheetPr>
    <pageSetUpPr fitToPage="1"/>
  </sheetPr>
  <dimension ref="A1"/>
  <sheetViews>
    <sheetView workbookViewId="0">
      <selection activeCell="N39" sqref="N39"/>
    </sheetView>
  </sheetViews>
  <sheetFormatPr defaultRowHeight="15" x14ac:dyDescent="0.25"/>
  <sheetData/>
  <pageMargins left="0.7" right="0.7" top="0.75" bottom="0.75" header="0.3" footer="0.3"/>
  <pageSetup scale="70"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EA6FF-E2FF-47A7-B34E-C3BFC31258C3}">
  <sheetPr>
    <pageSetUpPr fitToPage="1"/>
  </sheetPr>
  <dimension ref="A1:O71"/>
  <sheetViews>
    <sheetView workbookViewId="0">
      <selection activeCell="A23" sqref="A23"/>
    </sheetView>
  </sheetViews>
  <sheetFormatPr defaultRowHeight="15" x14ac:dyDescent="0.25"/>
  <cols>
    <col min="1" max="1" width="16.140625" style="391" customWidth="1"/>
    <col min="2" max="2" width="28.42578125" style="391" customWidth="1"/>
  </cols>
  <sheetData>
    <row r="1" spans="1:2" ht="39" customHeight="1" x14ac:dyDescent="0.3">
      <c r="A1" s="1773" t="s">
        <v>3159</v>
      </c>
      <c r="B1" s="1773"/>
    </row>
    <row r="2" spans="1:2" ht="15.75" x14ac:dyDescent="0.25">
      <c r="A2" s="1774" t="s">
        <v>3160</v>
      </c>
      <c r="B2" s="1774" t="s">
        <v>3161</v>
      </c>
    </row>
    <row r="3" spans="1:2" s="41" customFormat="1" x14ac:dyDescent="0.25">
      <c r="A3" s="1775" t="s">
        <v>3162</v>
      </c>
      <c r="B3" s="1775" t="s">
        <v>3163</v>
      </c>
    </row>
    <row r="4" spans="1:2" s="41" customFormat="1" ht="45" x14ac:dyDescent="0.25">
      <c r="A4" s="1775" t="s">
        <v>3164</v>
      </c>
      <c r="B4" s="1751" t="s">
        <v>3165</v>
      </c>
    </row>
    <row r="5" spans="1:2" s="41" customFormat="1" ht="30" x14ac:dyDescent="0.25">
      <c r="A5" s="1775" t="s">
        <v>3166</v>
      </c>
      <c r="B5" s="1751" t="s">
        <v>3167</v>
      </c>
    </row>
    <row r="6" spans="1:2" s="41" customFormat="1" x14ac:dyDescent="0.25">
      <c r="A6" s="1775" t="s">
        <v>3062</v>
      </c>
      <c r="B6" s="1775" t="s">
        <v>3168</v>
      </c>
    </row>
    <row r="7" spans="1:2" s="41" customFormat="1" x14ac:dyDescent="0.25">
      <c r="A7" s="1775" t="s">
        <v>3152</v>
      </c>
      <c r="B7" s="1775" t="s">
        <v>3163</v>
      </c>
    </row>
    <row r="8" spans="1:2" s="41" customFormat="1" x14ac:dyDescent="0.25">
      <c r="A8" s="1775" t="s">
        <v>3148</v>
      </c>
      <c r="B8" s="1775" t="s">
        <v>3163</v>
      </c>
    </row>
    <row r="9" spans="1:2" s="41" customFormat="1" ht="17.25" x14ac:dyDescent="0.25">
      <c r="A9" s="1775" t="s">
        <v>3169</v>
      </c>
      <c r="B9" s="1775" t="s">
        <v>3170</v>
      </c>
    </row>
    <row r="10" spans="1:2" s="41" customFormat="1" x14ac:dyDescent="0.25">
      <c r="A10" s="1775" t="s">
        <v>3147</v>
      </c>
      <c r="B10" s="1775" t="s">
        <v>3170</v>
      </c>
    </row>
    <row r="11" spans="1:2" s="41" customFormat="1" x14ac:dyDescent="0.25">
      <c r="A11" s="1775" t="s">
        <v>3151</v>
      </c>
      <c r="B11" s="1775" t="s">
        <v>3163</v>
      </c>
    </row>
    <row r="12" spans="1:2" s="41" customFormat="1" x14ac:dyDescent="0.25">
      <c r="A12" s="1775" t="s">
        <v>3150</v>
      </c>
      <c r="B12" s="1775" t="s">
        <v>3170</v>
      </c>
    </row>
    <row r="13" spans="1:2" s="41" customFormat="1" x14ac:dyDescent="0.25">
      <c r="A13" s="1775" t="s">
        <v>3060</v>
      </c>
      <c r="B13" s="1775" t="s">
        <v>3163</v>
      </c>
    </row>
    <row r="14" spans="1:2" s="41" customFormat="1" x14ac:dyDescent="0.25">
      <c r="A14" s="1775" t="s">
        <v>3171</v>
      </c>
      <c r="B14" s="1775" t="s">
        <v>3172</v>
      </c>
    </row>
    <row r="15" spans="1:2" s="41" customFormat="1" x14ac:dyDescent="0.25">
      <c r="B15" s="662"/>
    </row>
    <row r="16" spans="1:2" s="41" customFormat="1" ht="17.25" x14ac:dyDescent="0.25">
      <c r="A16" s="1776" t="s">
        <v>3173</v>
      </c>
      <c r="B16" s="662"/>
    </row>
    <row r="17" spans="1:15" s="41" customFormat="1" x14ac:dyDescent="0.25">
      <c r="A17" s="1777" t="s">
        <v>3174</v>
      </c>
      <c r="B17" s="662"/>
    </row>
    <row r="18" spans="1:15" s="41" customFormat="1" x14ac:dyDescent="0.25">
      <c r="A18" s="1776" t="s">
        <v>3175</v>
      </c>
      <c r="B18" s="662"/>
    </row>
    <row r="19" spans="1:15" s="41" customFormat="1" x14ac:dyDescent="0.25">
      <c r="A19" s="1776" t="s">
        <v>3176</v>
      </c>
      <c r="B19" s="662"/>
    </row>
    <row r="20" spans="1:15" s="41" customFormat="1" ht="30.75" customHeight="1" x14ac:dyDescent="0.25">
      <c r="A20" s="1737" t="s">
        <v>3177</v>
      </c>
      <c r="B20" s="1737"/>
      <c r="C20" s="1737"/>
      <c r="D20" s="1737"/>
      <c r="E20" s="1737"/>
      <c r="F20" s="1737"/>
      <c r="G20" s="1737"/>
      <c r="H20" s="1737"/>
      <c r="I20" s="1776"/>
      <c r="J20" s="1776"/>
      <c r="K20" s="1776"/>
      <c r="L20" s="1776"/>
      <c r="M20" s="1776"/>
      <c r="N20" s="1776"/>
      <c r="O20" s="1776"/>
    </row>
    <row r="21" spans="1:15" s="41" customFormat="1" x14ac:dyDescent="0.25">
      <c r="A21" s="1776" t="s">
        <v>3178</v>
      </c>
      <c r="B21" s="662"/>
    </row>
    <row r="22" spans="1:15" s="41" customFormat="1" x14ac:dyDescent="0.25">
      <c r="A22" s="1776" t="s">
        <v>3179</v>
      </c>
      <c r="B22" s="662"/>
    </row>
    <row r="23" spans="1:15" s="41" customFormat="1" x14ac:dyDescent="0.25">
      <c r="A23" s="1776"/>
      <c r="B23" s="662"/>
    </row>
    <row r="24" spans="1:15" s="41" customFormat="1" x14ac:dyDescent="0.25">
      <c r="A24" s="1777" t="s">
        <v>3180</v>
      </c>
      <c r="B24" s="662"/>
    </row>
    <row r="25" spans="1:15" s="41" customFormat="1" x14ac:dyDescent="0.25">
      <c r="A25" s="1776" t="s">
        <v>3181</v>
      </c>
      <c r="B25" s="662"/>
    </row>
    <row r="26" spans="1:15" s="41" customFormat="1" ht="45" customHeight="1" x14ac:dyDescent="0.25">
      <c r="A26" s="1737" t="s">
        <v>3182</v>
      </c>
      <c r="B26" s="1737"/>
      <c r="C26" s="1737"/>
      <c r="D26" s="1737"/>
      <c r="E26" s="1737"/>
      <c r="F26" s="1737"/>
      <c r="G26" s="1737"/>
    </row>
    <row r="27" spans="1:15" s="41" customFormat="1" x14ac:dyDescent="0.25">
      <c r="A27" s="1776" t="s">
        <v>3183</v>
      </c>
      <c r="B27" s="662"/>
    </row>
    <row r="28" spans="1:15" s="41" customFormat="1" x14ac:dyDescent="0.25">
      <c r="A28" s="1776" t="s">
        <v>3184</v>
      </c>
      <c r="B28" s="662"/>
    </row>
    <row r="29" spans="1:15" x14ac:dyDescent="0.25">
      <c r="A29" s="1776" t="s">
        <v>3185</v>
      </c>
    </row>
    <row r="30" spans="1:15" ht="45" customHeight="1" x14ac:dyDescent="0.25">
      <c r="A30" s="1737" t="s">
        <v>3186</v>
      </c>
      <c r="B30" s="1737"/>
      <c r="C30" s="1737"/>
      <c r="D30" s="1737"/>
      <c r="E30" s="1737"/>
      <c r="F30" s="1737"/>
      <c r="G30" s="1737"/>
      <c r="H30" s="1737"/>
    </row>
    <row r="31" spans="1:15" x14ac:dyDescent="0.25">
      <c r="A31" s="1776"/>
    </row>
    <row r="32" spans="1:15" x14ac:dyDescent="0.25">
      <c r="A32" s="1777" t="s">
        <v>3187</v>
      </c>
    </row>
    <row r="33" spans="1:8" ht="30" customHeight="1" x14ac:dyDescent="0.25">
      <c r="A33" s="1737" t="s">
        <v>3188</v>
      </c>
      <c r="B33" s="1737"/>
      <c r="C33" s="1737"/>
      <c r="D33" s="1737"/>
      <c r="E33" s="1737"/>
      <c r="F33" s="1737"/>
      <c r="G33" s="1737"/>
      <c r="H33" s="1737"/>
    </row>
    <row r="34" spans="1:8" x14ac:dyDescent="0.25">
      <c r="A34" s="1776"/>
    </row>
    <row r="35" spans="1:8" x14ac:dyDescent="0.25">
      <c r="A35" s="1777" t="s">
        <v>3189</v>
      </c>
    </row>
    <row r="36" spans="1:8" ht="45.75" customHeight="1" x14ac:dyDescent="0.25">
      <c r="A36" s="1737" t="s">
        <v>3190</v>
      </c>
      <c r="B36" s="1737"/>
      <c r="C36" s="1737"/>
      <c r="D36" s="1737"/>
      <c r="E36" s="1737"/>
      <c r="F36" s="1737"/>
      <c r="G36" s="1737"/>
      <c r="H36" s="1737"/>
    </row>
    <row r="37" spans="1:8" x14ac:dyDescent="0.25">
      <c r="A37" s="1776"/>
      <c r="D37" s="27"/>
    </row>
    <row r="38" spans="1:8" x14ac:dyDescent="0.25">
      <c r="A38" s="1777" t="s">
        <v>3191</v>
      </c>
    </row>
    <row r="39" spans="1:8" ht="30" customHeight="1" x14ac:dyDescent="0.25">
      <c r="A39" s="1737" t="s">
        <v>3192</v>
      </c>
      <c r="B39" s="1737"/>
      <c r="C39" s="1737"/>
      <c r="D39" s="1737"/>
      <c r="E39" s="1737"/>
      <c r="F39" s="1737"/>
      <c r="G39" s="1737"/>
      <c r="H39" s="1737"/>
    </row>
    <row r="40" spans="1:8" x14ac:dyDescent="0.25">
      <c r="A40" s="1776"/>
    </row>
    <row r="41" spans="1:8" x14ac:dyDescent="0.25">
      <c r="A41" s="1777" t="s">
        <v>3193</v>
      </c>
    </row>
    <row r="42" spans="1:8" ht="45" customHeight="1" x14ac:dyDescent="0.25">
      <c r="A42" s="1737" t="s">
        <v>3194</v>
      </c>
      <c r="B42" s="1737"/>
      <c r="C42" s="1737"/>
      <c r="D42" s="1737"/>
      <c r="E42" s="1737"/>
      <c r="F42" s="1737"/>
      <c r="G42" s="1737"/>
      <c r="H42" s="1737"/>
    </row>
    <row r="43" spans="1:8" x14ac:dyDescent="0.25">
      <c r="A43" s="1776"/>
    </row>
    <row r="44" spans="1:8" x14ac:dyDescent="0.25">
      <c r="A44" s="1777" t="s">
        <v>3195</v>
      </c>
    </row>
    <row r="45" spans="1:8" ht="30" customHeight="1" x14ac:dyDescent="0.25">
      <c r="A45" s="1737" t="s">
        <v>3196</v>
      </c>
      <c r="B45" s="1737"/>
      <c r="C45" s="1737"/>
      <c r="D45" s="1737"/>
      <c r="E45" s="1737"/>
      <c r="F45" s="1737"/>
      <c r="G45" s="1737"/>
      <c r="H45" s="1737"/>
    </row>
    <row r="46" spans="1:8" x14ac:dyDescent="0.25">
      <c r="A46" s="1776" t="s">
        <v>3197</v>
      </c>
    </row>
    <row r="47" spans="1:8" x14ac:dyDescent="0.25">
      <c r="A47" s="1776" t="s">
        <v>3198</v>
      </c>
    </row>
    <row r="48" spans="1:8" x14ac:dyDescent="0.25">
      <c r="A48" s="1776" t="s">
        <v>3199</v>
      </c>
    </row>
    <row r="49" spans="1:8" x14ac:dyDescent="0.25">
      <c r="A49" s="1776" t="s">
        <v>3200</v>
      </c>
    </row>
    <row r="50" spans="1:8" x14ac:dyDescent="0.25">
      <c r="A50" s="1776" t="s">
        <v>3201</v>
      </c>
    </row>
    <row r="51" spans="1:8" x14ac:dyDescent="0.25">
      <c r="A51" s="1776"/>
    </row>
    <row r="52" spans="1:8" x14ac:dyDescent="0.25">
      <c r="A52" s="1777" t="s">
        <v>3202</v>
      </c>
    </row>
    <row r="53" spans="1:8" ht="30" customHeight="1" x14ac:dyDescent="0.25">
      <c r="A53" s="1737" t="s">
        <v>3203</v>
      </c>
      <c r="B53" s="1737"/>
      <c r="C53" s="1737"/>
      <c r="D53" s="1737"/>
      <c r="E53" s="1737"/>
      <c r="F53" s="1737"/>
      <c r="G53" s="1737"/>
      <c r="H53" s="1737"/>
    </row>
    <row r="54" spans="1:8" x14ac:dyDescent="0.25">
      <c r="A54" s="1776" t="s">
        <v>3204</v>
      </c>
    </row>
    <row r="55" spans="1:8" x14ac:dyDescent="0.25">
      <c r="A55" s="1776" t="s">
        <v>3205</v>
      </c>
    </row>
    <row r="56" spans="1:8" x14ac:dyDescent="0.25">
      <c r="A56" s="1776" t="s">
        <v>3206</v>
      </c>
    </row>
    <row r="57" spans="1:8" x14ac:dyDescent="0.25">
      <c r="A57" s="1776"/>
    </row>
    <row r="58" spans="1:8" x14ac:dyDescent="0.25">
      <c r="A58" s="1777" t="s">
        <v>3207</v>
      </c>
    </row>
    <row r="59" spans="1:8" x14ac:dyDescent="0.25">
      <c r="A59" s="1776" t="s">
        <v>3208</v>
      </c>
    </row>
    <row r="60" spans="1:8" x14ac:dyDescent="0.25">
      <c r="A60" s="1776"/>
    </row>
    <row r="61" spans="1:8" x14ac:dyDescent="0.25">
      <c r="A61" s="1777" t="s">
        <v>3209</v>
      </c>
    </row>
    <row r="62" spans="1:8" ht="30" customHeight="1" x14ac:dyDescent="0.25">
      <c r="A62" s="1737" t="s">
        <v>3210</v>
      </c>
      <c r="B62" s="1737"/>
      <c r="C62" s="1737"/>
      <c r="D62" s="1737"/>
      <c r="E62" s="1737"/>
      <c r="F62" s="1737"/>
      <c r="G62" s="1737"/>
      <c r="H62" s="1737"/>
    </row>
    <row r="63" spans="1:8" x14ac:dyDescent="0.25">
      <c r="A63" s="1776" t="s">
        <v>3211</v>
      </c>
    </row>
    <row r="64" spans="1:8" ht="78" customHeight="1" x14ac:dyDescent="0.25">
      <c r="A64" s="1737" t="s">
        <v>3212</v>
      </c>
      <c r="B64" s="1737"/>
      <c r="C64" s="1737"/>
      <c r="D64" s="1737"/>
      <c r="E64" s="1737"/>
      <c r="F64" s="1737"/>
      <c r="G64" s="1737"/>
      <c r="H64" s="1737"/>
    </row>
    <row r="65" spans="1:8" ht="14.25" customHeight="1" x14ac:dyDescent="0.25">
      <c r="A65" s="1738"/>
      <c r="B65" s="1738"/>
      <c r="C65" s="1738"/>
      <c r="D65" s="1738"/>
      <c r="E65" s="1738"/>
      <c r="F65" s="1738"/>
      <c r="G65" s="1738"/>
      <c r="H65" s="1738"/>
    </row>
    <row r="66" spans="1:8" x14ac:dyDescent="0.25">
      <c r="A66" s="1777" t="s">
        <v>3213</v>
      </c>
    </row>
    <row r="67" spans="1:8" x14ac:dyDescent="0.25">
      <c r="A67" s="1776" t="s">
        <v>3214</v>
      </c>
    </row>
    <row r="68" spans="1:8" x14ac:dyDescent="0.25">
      <c r="A68" s="1776" t="s">
        <v>3215</v>
      </c>
    </row>
    <row r="69" spans="1:8" ht="45" customHeight="1" x14ac:dyDescent="0.25">
      <c r="A69" s="1737" t="s">
        <v>3216</v>
      </c>
      <c r="B69" s="1737"/>
      <c r="C69" s="1737"/>
      <c r="D69" s="1737"/>
      <c r="E69" s="1737"/>
      <c r="F69" s="1737"/>
      <c r="G69" s="1737"/>
      <c r="H69" s="1737"/>
    </row>
    <row r="70" spans="1:8" x14ac:dyDescent="0.25">
      <c r="A70" s="1776" t="s">
        <v>3217</v>
      </c>
    </row>
    <row r="71" spans="1:8" x14ac:dyDescent="0.25">
      <c r="A71" s="1776" t="s">
        <v>3218</v>
      </c>
    </row>
  </sheetData>
  <mergeCells count="13">
    <mergeCell ref="A69:H69"/>
    <mergeCell ref="A39:H39"/>
    <mergeCell ref="A42:H42"/>
    <mergeCell ref="A45:H45"/>
    <mergeCell ref="A53:H53"/>
    <mergeCell ref="A62:H62"/>
    <mergeCell ref="A64:H64"/>
    <mergeCell ref="A1:B1"/>
    <mergeCell ref="A20:H20"/>
    <mergeCell ref="A26:G26"/>
    <mergeCell ref="A30:H30"/>
    <mergeCell ref="A33:H33"/>
    <mergeCell ref="A36:H36"/>
  </mergeCells>
  <pageMargins left="0.7" right="0.7" top="0.75" bottom="0.75" header="0.3" footer="0.3"/>
  <pageSetup scale="90" fitToHeight="0"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13C4A5-B91F-4548-A9DF-435CC3184FE8}">
  <dimension ref="A1:A9"/>
  <sheetViews>
    <sheetView workbookViewId="0">
      <selection activeCell="G11" sqref="G11"/>
    </sheetView>
  </sheetViews>
  <sheetFormatPr defaultRowHeight="15" x14ac:dyDescent="0.25"/>
  <cols>
    <col min="1" max="1" width="109.7109375" customWidth="1"/>
  </cols>
  <sheetData>
    <row r="1" spans="1:1" ht="18.75" x14ac:dyDescent="0.3">
      <c r="A1" s="1778" t="s">
        <v>3219</v>
      </c>
    </row>
    <row r="2" spans="1:1" ht="62.25" x14ac:dyDescent="0.25">
      <c r="A2" s="27" t="s">
        <v>3220</v>
      </c>
    </row>
    <row r="3" spans="1:1" x14ac:dyDescent="0.25">
      <c r="A3" s="27"/>
    </row>
    <row r="4" spans="1:1" ht="17.25" x14ac:dyDescent="0.25">
      <c r="A4" s="27" t="s">
        <v>3221</v>
      </c>
    </row>
    <row r="5" spans="1:1" x14ac:dyDescent="0.25">
      <c r="A5" s="27" t="s">
        <v>3222</v>
      </c>
    </row>
    <row r="6" spans="1:1" ht="32.25" x14ac:dyDescent="0.25">
      <c r="A6" s="27" t="s">
        <v>3223</v>
      </c>
    </row>
    <row r="7" spans="1:1" ht="17.25" x14ac:dyDescent="0.25">
      <c r="A7" s="27" t="s">
        <v>3224</v>
      </c>
    </row>
    <row r="9" spans="1:1" ht="64.5" customHeight="1" x14ac:dyDescent="0.2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6145" r:id="rId4">
          <objectPr defaultSize="0" r:id="rId5">
            <anchor moveWithCells="1">
              <from>
                <xdr:col>0</xdr:col>
                <xdr:colOff>381000</xdr:colOff>
                <xdr:row>8</xdr:row>
                <xdr:rowOff>57150</xdr:rowOff>
              </from>
              <to>
                <xdr:col>0</xdr:col>
                <xdr:colOff>1295400</xdr:colOff>
                <xdr:row>8</xdr:row>
                <xdr:rowOff>742950</xdr:rowOff>
              </to>
            </anchor>
          </objectPr>
        </oleObject>
      </mc:Choice>
      <mc:Fallback>
        <oleObject progId="Acrobat Document" dvAspect="DVASPECT_ICON" shapeId="6145"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2A906-C8E5-45F8-BA8C-BBD23DDFD88C}">
  <sheetPr>
    <pageSetUpPr fitToPage="1"/>
  </sheetPr>
  <dimension ref="A1:B7"/>
  <sheetViews>
    <sheetView workbookViewId="0">
      <selection activeCell="G11" sqref="G11"/>
    </sheetView>
  </sheetViews>
  <sheetFormatPr defaultRowHeight="15" x14ac:dyDescent="0.25"/>
  <cols>
    <col min="1" max="1" width="14.7109375" style="27" customWidth="1"/>
    <col min="2" max="2" width="93.140625" style="27" customWidth="1"/>
  </cols>
  <sheetData>
    <row r="1" spans="1:2" ht="24.75" customHeight="1" x14ac:dyDescent="0.3">
      <c r="A1" s="1779" t="s">
        <v>3225</v>
      </c>
      <c r="B1" s="1779"/>
    </row>
    <row r="2" spans="1:2" ht="30" x14ac:dyDescent="0.25">
      <c r="A2" s="1780" t="s">
        <v>3226</v>
      </c>
      <c r="B2" s="1780" t="s">
        <v>3227</v>
      </c>
    </row>
    <row r="3" spans="1:2" ht="36.75" customHeight="1" x14ac:dyDescent="0.25">
      <c r="A3" s="1780" t="s">
        <v>3228</v>
      </c>
      <c r="B3" s="1780" t="s">
        <v>3229</v>
      </c>
    </row>
    <row r="4" spans="1:2" ht="63" customHeight="1" x14ac:dyDescent="0.25">
      <c r="A4" s="1780" t="s">
        <v>3230</v>
      </c>
      <c r="B4" s="1780" t="s">
        <v>3231</v>
      </c>
    </row>
    <row r="5" spans="1:2" ht="90" x14ac:dyDescent="0.25">
      <c r="A5" s="1780" t="s">
        <v>3232</v>
      </c>
      <c r="B5" s="1780" t="s">
        <v>3233</v>
      </c>
    </row>
    <row r="6" spans="1:2" ht="75" x14ac:dyDescent="0.25">
      <c r="A6" s="1780" t="s">
        <v>3234</v>
      </c>
      <c r="B6" s="1780" t="s">
        <v>3235</v>
      </c>
    </row>
    <row r="7" spans="1:2" ht="120" x14ac:dyDescent="0.25">
      <c r="A7" s="1780" t="s">
        <v>3236</v>
      </c>
      <c r="B7" s="1780" t="s">
        <v>3237</v>
      </c>
    </row>
  </sheetData>
  <mergeCells count="1">
    <mergeCell ref="A1:B1"/>
  </mergeCells>
  <pageMargins left="0.7" right="0.7" top="0.75" bottom="0.75" header="0.3" footer="0.3"/>
  <pageSetup scale="83"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9</vt:i4>
      </vt:variant>
    </vt:vector>
  </HeadingPairs>
  <TitlesOfParts>
    <vt:vector size="18" baseType="lpstr">
      <vt:lpstr>RUC Calculations FY18v20</vt:lpstr>
      <vt:lpstr>MILCON Inflation Table</vt:lpstr>
      <vt:lpstr>Mil Cost Premiums for RUCs</vt:lpstr>
      <vt:lpstr>M&amp;S Selection Business Rule</vt:lpstr>
      <vt:lpstr>2018 Elevator Rule</vt:lpstr>
      <vt:lpstr>Overhead Crane Business Rule</vt:lpstr>
      <vt:lpstr>Fire Sprinkler Business Rule</vt:lpstr>
      <vt:lpstr>Loading Dock Footnote</vt:lpstr>
      <vt:lpstr>Range Business Rules</vt:lpstr>
      <vt:lpstr>'M&amp;S Selection Business Rule'!_ftn1</vt:lpstr>
      <vt:lpstr>'M&amp;S Selection Business Rule'!_ftn2</vt:lpstr>
      <vt:lpstr>'M&amp;S Selection Business Rule'!_ftnref1</vt:lpstr>
      <vt:lpstr>'M&amp;S Selection Business Rule'!_ftnref2</vt:lpstr>
      <vt:lpstr>'Mil Cost Premiums for RUCs'!Print_Area</vt:lpstr>
      <vt:lpstr>'MILCON Inflation Table'!Print_Area</vt:lpstr>
      <vt:lpstr>'RUC Calculations FY18v20'!Print_Area</vt:lpstr>
      <vt:lpstr>'2018 Elevator Rule'!Print_Titles</vt:lpstr>
      <vt:lpstr>PRV</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Calese</dc:creator>
  <cp:lastModifiedBy>Gary Calese</cp:lastModifiedBy>
  <dcterms:created xsi:type="dcterms:W3CDTF">2018-07-06T18:00:32Z</dcterms:created>
  <dcterms:modified xsi:type="dcterms:W3CDTF">2018-07-09T04:45:44Z</dcterms:modified>
</cp:coreProperties>
</file>